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45" windowHeight="6270" tabRatio="744" activeTab="2"/>
  </bookViews>
  <sheets>
    <sheet name="6-1(鄉庫)" sheetId="1" r:id="rId1"/>
    <sheet name="6-1-1(鄉庫)" sheetId="2" r:id="rId2"/>
    <sheet name="6-2鄉鎮預入" sheetId="3" r:id="rId3"/>
    <sheet name="6-2-1鄉鎮決入" sheetId="4" r:id="rId4"/>
    <sheet name="6-3鄉鎮預出" sheetId="5" r:id="rId5"/>
    <sheet name="6-3-1鄉鎮預出續一" sheetId="6" r:id="rId6"/>
    <sheet name="6-3-2鄉鎮決出二" sheetId="7" r:id="rId7"/>
    <sheet name="6-3-3鄉決出續" sheetId="8" r:id="rId8"/>
  </sheets>
  <definedNames/>
  <calcPr fullCalcOnLoad="1"/>
</workbook>
</file>

<file path=xl/sharedStrings.xml><?xml version="1.0" encoding="utf-8"?>
<sst xmlns="http://schemas.openxmlformats.org/spreadsheetml/2006/main" count="519" uniqueCount="373">
  <si>
    <t>Budget</t>
  </si>
  <si>
    <t>單位：新臺幣千元</t>
  </si>
  <si>
    <t xml:space="preserve"> </t>
  </si>
  <si>
    <t>說　　明：財產收入包括財產孳息收入與財產售價及收回收入。</t>
  </si>
  <si>
    <t>總計</t>
  </si>
  <si>
    <t>說　　明：財產收入包含財產孳息收入與財產售價及收回收入。</t>
  </si>
  <si>
    <t>Budget</t>
  </si>
  <si>
    <t>單位：新臺幣千元</t>
  </si>
  <si>
    <t>Current Year Revent</t>
  </si>
  <si>
    <t>2. Expenditures</t>
  </si>
  <si>
    <t>Current Year Expenditures</t>
  </si>
  <si>
    <t xml:space="preserve">Budget     </t>
  </si>
  <si>
    <t>表6-2、鄉鎮公所歲入預決算 － 按來源別分(續完)</t>
  </si>
  <si>
    <t>1.Receipts</t>
  </si>
  <si>
    <t>Fiscal Year &amp; Moth</t>
  </si>
  <si>
    <t>2.Expenditures</t>
  </si>
  <si>
    <r>
      <t>協助支出</t>
    </r>
    <r>
      <rPr>
        <sz val="9"/>
        <rFont val="新細明體"/>
        <family val="1"/>
      </rPr>
      <t>Expenditure for Assistance</t>
    </r>
  </si>
  <si>
    <r>
      <t>財務支出</t>
    </r>
    <r>
      <rPr>
        <sz val="9"/>
        <rFont val="新細明體"/>
        <family val="1"/>
      </rPr>
      <t>Financial Expenditure</t>
    </r>
  </si>
  <si>
    <r>
      <t>農業支出</t>
    </r>
    <r>
      <rPr>
        <sz val="9"/>
        <rFont val="新細明體"/>
        <family val="1"/>
      </rPr>
      <t>Expenditure for Agriculture</t>
    </r>
  </si>
  <si>
    <r>
      <t>交通支出</t>
    </r>
    <r>
      <rPr>
        <sz val="9"/>
        <rFont val="新細明體"/>
        <family val="1"/>
      </rPr>
      <t>Expenditure for Communication</t>
    </r>
  </si>
  <si>
    <r>
      <t>社會保險支出</t>
    </r>
    <r>
      <rPr>
        <sz val="9"/>
        <rFont val="新細明體"/>
        <family val="1"/>
      </rPr>
      <t>Expenditure for Social Insurance</t>
    </r>
  </si>
  <si>
    <r>
      <t>社區發展支出</t>
    </r>
    <r>
      <rPr>
        <sz val="9"/>
        <rFont val="新細明體"/>
        <family val="1"/>
      </rPr>
      <t>Expenditure for Community Development</t>
    </r>
  </si>
  <si>
    <r>
      <t>環境保護支出</t>
    </r>
    <r>
      <rPr>
        <sz val="9"/>
        <rFont val="新細明體"/>
        <family val="1"/>
      </rPr>
      <t>Expenditure for Environmental Protection</t>
    </r>
  </si>
  <si>
    <t>補助及協助收入   Assistance and Donation</t>
  </si>
  <si>
    <t>原  預  算        Original</t>
  </si>
  <si>
    <t>追加減後預算Final</t>
  </si>
  <si>
    <t>決                算</t>
  </si>
  <si>
    <t>Settled</t>
  </si>
  <si>
    <t>工程受益費收入Special Assessment</t>
  </si>
  <si>
    <t>罰款及賠償收入
Fines and Indemnity</t>
  </si>
  <si>
    <t>規費收入          Receipts from Fees</t>
  </si>
  <si>
    <t>營業盈餘及事業收入   Surplus Public Enterprises</t>
  </si>
  <si>
    <t>捐獻及贈與收入Contribution and Donation</t>
  </si>
  <si>
    <t>賒借收入      Borrowing</t>
  </si>
  <si>
    <t>其他收入           Others</t>
  </si>
  <si>
    <t>備註：「捐贈及贈與收入」修正為「捐獻及贈與收入」。</t>
  </si>
  <si>
    <t>資料來源：本所主計室。</t>
  </si>
  <si>
    <t>總　　計             Grand Total</t>
  </si>
  <si>
    <t>行政支出Administrative Expenditure</t>
  </si>
  <si>
    <t>民政支出             Civil Affairs Expenditure</t>
  </si>
  <si>
    <t>財務支出  Financial Expenditure</t>
  </si>
  <si>
    <t>教育支出Expenditure for Education</t>
  </si>
  <si>
    <t>科學支出Expenditure for Science</t>
  </si>
  <si>
    <t>文化支出Expenditure for Culture</t>
  </si>
  <si>
    <t>農業支出Expenditure for Agriculture</t>
  </si>
  <si>
    <t>工業支出Expenditure for Industry</t>
  </si>
  <si>
    <r>
      <t xml:space="preserve">其他經濟服務支出  </t>
    </r>
    <r>
      <rPr>
        <sz val="9"/>
        <rFont val="新細明體"/>
        <family val="1"/>
      </rPr>
      <t>Other Economic Service</t>
    </r>
  </si>
  <si>
    <t>社會救助支出Expenditure for Social Relief</t>
  </si>
  <si>
    <t>資料來源：本所主計室。</t>
  </si>
  <si>
    <r>
      <t xml:space="preserve">福利服務支出     </t>
    </r>
    <r>
      <rPr>
        <sz val="9"/>
        <rFont val="新細明體"/>
        <family val="1"/>
      </rPr>
      <t>Expenditure for Benefcial Service</t>
    </r>
  </si>
  <si>
    <r>
      <t xml:space="preserve">環境保護支出       </t>
    </r>
    <r>
      <rPr>
        <sz val="9"/>
        <rFont val="新細明體"/>
        <family val="1"/>
      </rPr>
      <t>Expenditure for Environmental Protection</t>
    </r>
  </si>
  <si>
    <r>
      <t xml:space="preserve">退休撫卹給付支出   </t>
    </r>
    <r>
      <rPr>
        <sz val="9"/>
        <rFont val="新細明體"/>
        <family val="1"/>
      </rPr>
      <t>Expenditure on Retirement and Pensions</t>
    </r>
  </si>
  <si>
    <r>
      <t xml:space="preserve">債務付息支出     </t>
    </r>
    <r>
      <rPr>
        <sz val="9"/>
        <rFont val="新細明體"/>
        <family val="1"/>
      </rPr>
      <t>Expenditure for Interest Payment</t>
    </r>
  </si>
  <si>
    <r>
      <t>專案補助支出</t>
    </r>
    <r>
      <rPr>
        <sz val="9"/>
        <rFont val="新細明體"/>
        <family val="1"/>
      </rPr>
      <t>Expenditure for Transfors of  characters</t>
    </r>
  </si>
  <si>
    <r>
      <t xml:space="preserve">平衡預算補助支出   </t>
    </r>
    <r>
      <rPr>
        <sz val="9"/>
        <rFont val="新細明體"/>
        <family val="1"/>
      </rPr>
      <t>Expenditure for Transfors of General characters</t>
    </r>
  </si>
  <si>
    <r>
      <t xml:space="preserve">其他支出         </t>
    </r>
    <r>
      <rPr>
        <sz val="9"/>
        <rFont val="新細明體"/>
        <family val="1"/>
      </rPr>
      <t>Other Expenditure</t>
    </r>
  </si>
  <si>
    <r>
      <t>92年度                2003</t>
    </r>
  </si>
  <si>
    <r>
      <t>93年度                2004</t>
    </r>
  </si>
  <si>
    <r>
      <t>94年度                2005</t>
    </r>
  </si>
  <si>
    <r>
      <t>95年度                2006</t>
    </r>
  </si>
  <si>
    <t>年  度  別                                          Fiscal Year</t>
  </si>
  <si>
    <t>年度別         Fiscal Year</t>
  </si>
  <si>
    <r>
      <t xml:space="preserve">總　　計      </t>
    </r>
    <r>
      <rPr>
        <sz val="9"/>
        <rFont val="新細明體"/>
        <family val="1"/>
      </rPr>
      <t>Grand Total</t>
    </r>
  </si>
  <si>
    <r>
      <t xml:space="preserve">行政支出   </t>
    </r>
    <r>
      <rPr>
        <sz val="9"/>
        <rFont val="新細明體"/>
        <family val="1"/>
      </rPr>
      <t>Administrative Expenditure</t>
    </r>
  </si>
  <si>
    <r>
      <t xml:space="preserve">其他經濟服務支出Other </t>
    </r>
    <r>
      <rPr>
        <sz val="9"/>
        <rFont val="新細明體"/>
        <family val="1"/>
      </rPr>
      <t>Economic Service</t>
    </r>
  </si>
  <si>
    <r>
      <t xml:space="preserve">社會救助支出    </t>
    </r>
    <r>
      <rPr>
        <sz val="9"/>
        <rFont val="新細明體"/>
        <family val="1"/>
      </rPr>
      <t>Expenditure for Social Relief</t>
    </r>
  </si>
  <si>
    <t>備註：增列「退休撫卹給付支出」，「債務利息支出」修正為「債務付息支出」，刪除「債務還本支出」欄位。</t>
  </si>
  <si>
    <t>預              算</t>
  </si>
  <si>
    <r>
      <t>決</t>
    </r>
    <r>
      <rPr>
        <sz val="14"/>
        <rFont val="Times New Roman"/>
        <family val="1"/>
      </rPr>
      <t xml:space="preserve">         </t>
    </r>
    <r>
      <rPr>
        <sz val="14"/>
        <rFont val="新細明體"/>
        <family val="1"/>
      </rPr>
      <t xml:space="preserve">   算</t>
    </r>
  </si>
  <si>
    <t>預備金                     Reserve Fund</t>
  </si>
  <si>
    <r>
      <t xml:space="preserve">   </t>
    </r>
    <r>
      <rPr>
        <sz val="11"/>
        <rFont val="新細明體"/>
        <family val="1"/>
      </rPr>
      <t>本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度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 </t>
    </r>
  </si>
  <si>
    <r>
      <t>債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出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Obligation</t>
    </r>
  </si>
  <si>
    <r>
      <t xml:space="preserve">  </t>
    </r>
    <r>
      <rPr>
        <sz val="11"/>
        <rFont val="新細明體"/>
        <family val="1"/>
      </rPr>
      <t>教育科學文化支出</t>
    </r>
    <r>
      <rPr>
        <sz val="11"/>
        <rFont val="Times New Roman"/>
        <family val="1"/>
      </rPr>
      <t xml:space="preserve"> Education Science&amp;Culture</t>
    </r>
  </si>
  <si>
    <r>
      <t>6-1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Revenues of Townsfip (cont.1)</t>
    </r>
  </si>
  <si>
    <t xml:space="preserve"> Current Year Expenditures</t>
  </si>
  <si>
    <r>
      <t xml:space="preserve">   </t>
    </r>
    <r>
      <rPr>
        <sz val="11"/>
        <rFont val="新細明體"/>
        <family val="1"/>
      </rPr>
      <t>本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度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  </t>
    </r>
  </si>
  <si>
    <r>
      <t>社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會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福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利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 Social Welfare</t>
    </r>
  </si>
  <si>
    <r>
      <t>92年度        2003</t>
    </r>
  </si>
  <si>
    <r>
      <t>93年度        2004</t>
    </r>
  </si>
  <si>
    <r>
      <t>94年度        2005</t>
    </r>
  </si>
  <si>
    <r>
      <t>95年度        2006</t>
    </r>
  </si>
  <si>
    <r>
      <t>96年度        2007</t>
    </r>
  </si>
  <si>
    <t>稅 課 收 入            Taxes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</si>
  <si>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N.T.</t>
    </r>
    <r>
      <rPr>
        <sz val="10"/>
        <rFont val="新細明體"/>
        <family val="1"/>
      </rPr>
      <t>＄</t>
    </r>
    <r>
      <rPr>
        <sz val="10"/>
        <rFont val="Times New Roman"/>
        <family val="1"/>
      </rPr>
      <t xml:space="preserve">1 000 </t>
    </r>
  </si>
  <si>
    <t>資料來源：本所主計室。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</si>
  <si>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N.T.</t>
    </r>
    <r>
      <rPr>
        <sz val="10"/>
        <rFont val="新細明體"/>
        <family val="1"/>
      </rPr>
      <t>＄</t>
    </r>
    <r>
      <rPr>
        <sz val="10"/>
        <rFont val="Times New Roman"/>
        <family val="1"/>
      </rPr>
      <t xml:space="preserve">1,000 </t>
    </r>
  </si>
  <si>
    <r>
      <t>6-3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 xml:space="preserve"> Budget and Settled Account of Revenues of City Offices (Cont.1)</t>
    </r>
  </si>
  <si>
    <t>96年度                2007</t>
  </si>
  <si>
    <r>
      <t xml:space="preserve">預備金                  </t>
    </r>
    <r>
      <rPr>
        <sz val="9"/>
        <rFont val="新細明體"/>
        <family val="1"/>
      </rPr>
      <t>Reserve Fund</t>
    </r>
  </si>
  <si>
    <r>
      <t xml:space="preserve">其他支出               </t>
    </r>
    <r>
      <rPr>
        <sz val="9"/>
        <rFont val="新細明體"/>
        <family val="1"/>
      </rPr>
      <t>Other Expenditure</t>
    </r>
  </si>
  <si>
    <r>
      <t xml:space="preserve">民政支出         </t>
    </r>
    <r>
      <rPr>
        <sz val="9"/>
        <rFont val="新細明體"/>
        <family val="1"/>
      </rPr>
      <t>Civil Affairs Expenditure</t>
    </r>
  </si>
  <si>
    <r>
      <t>表</t>
    </r>
    <r>
      <rPr>
        <sz val="18"/>
        <rFont val="Times New Roman"/>
        <family val="1"/>
      </rPr>
      <t>6-3</t>
    </r>
    <r>
      <rPr>
        <sz val="18"/>
        <rFont val="新細明體"/>
        <family val="1"/>
      </rPr>
      <t>、鄉公所歲出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預決算－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按政事別分</t>
    </r>
    <r>
      <rPr>
        <sz val="18"/>
        <rFont val="Times New Roman"/>
        <family val="1"/>
      </rPr>
      <t>(</t>
    </r>
    <r>
      <rPr>
        <sz val="18"/>
        <rFont val="新細明體"/>
        <family val="1"/>
      </rPr>
      <t>續完</t>
    </r>
    <r>
      <rPr>
        <sz val="18"/>
        <rFont val="Times New Roman"/>
        <family val="1"/>
      </rPr>
      <t>)</t>
    </r>
  </si>
  <si>
    <t>年  度  別                Fiscal Year</t>
  </si>
  <si>
    <r>
      <t>92</t>
    </r>
    <r>
      <rPr>
        <sz val="11"/>
        <rFont val="新細明體"/>
        <family val="1"/>
      </rPr>
      <t>年度              2003</t>
    </r>
  </si>
  <si>
    <r>
      <t>93</t>
    </r>
    <r>
      <rPr>
        <sz val="11"/>
        <rFont val="新細明體"/>
        <family val="1"/>
      </rPr>
      <t>年度              2004</t>
    </r>
  </si>
  <si>
    <r>
      <t>94</t>
    </r>
    <r>
      <rPr>
        <sz val="11"/>
        <rFont val="新細明體"/>
        <family val="1"/>
      </rPr>
      <t>年度              2005</t>
    </r>
  </si>
  <si>
    <r>
      <t>95</t>
    </r>
    <r>
      <rPr>
        <sz val="11"/>
        <rFont val="新細明體"/>
        <family val="1"/>
      </rPr>
      <t>年度              2006</t>
    </r>
  </si>
  <si>
    <r>
      <t>96</t>
    </r>
    <r>
      <rPr>
        <sz val="11"/>
        <rFont val="新細明體"/>
        <family val="1"/>
      </rPr>
      <t>年度              2007</t>
    </r>
  </si>
  <si>
    <t>年  度  別                                         Fiscal Year</t>
  </si>
  <si>
    <r>
      <t>6-1</t>
    </r>
    <r>
      <rPr>
        <sz val="20"/>
        <rFont val="新細明體"/>
        <family val="1"/>
      </rPr>
      <t>、</t>
    </r>
    <r>
      <rPr>
        <sz val="20"/>
        <rFont val="Times New Roman"/>
        <family val="1"/>
      </rPr>
      <t>Revenues of Township</t>
    </r>
  </si>
  <si>
    <r>
      <t>6-1</t>
    </r>
    <r>
      <rPr>
        <sz val="20"/>
        <rFont val="新細明體"/>
        <family val="1"/>
      </rPr>
      <t>、</t>
    </r>
    <r>
      <rPr>
        <sz val="20"/>
        <rFont val="Times New Roman"/>
        <family val="1"/>
      </rPr>
      <t>Revenues of Township (cont.End)</t>
    </r>
  </si>
  <si>
    <r>
      <t>6-2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>Budget and Settled Account of Revenues of City Offices (cont End)</t>
    </r>
  </si>
  <si>
    <r>
      <t>6-3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>Budget and Settled Account of Revenues of City Offices (Cont .End)</t>
    </r>
  </si>
  <si>
    <t>97年度        2008</t>
  </si>
  <si>
    <t>97年度                2008</t>
  </si>
  <si>
    <r>
      <t>97</t>
    </r>
    <r>
      <rPr>
        <sz val="11"/>
        <rFont val="新細明體"/>
        <family val="1"/>
      </rPr>
      <t>年度              2008</t>
    </r>
  </si>
  <si>
    <r>
      <t>表</t>
    </r>
    <r>
      <rPr>
        <sz val="18"/>
        <rFont val="Times New Roman"/>
        <family val="1"/>
      </rPr>
      <t>6-1</t>
    </r>
    <r>
      <rPr>
        <sz val="18"/>
        <rFont val="新細明體"/>
        <family val="1"/>
      </rPr>
      <t>、鄉鎮公庫收支</t>
    </r>
  </si>
  <si>
    <r>
      <t>1.</t>
    </r>
    <r>
      <rPr>
        <sz val="14"/>
        <rFont val="新細明體"/>
        <family val="1"/>
      </rPr>
      <t>收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</rPr>
      <t>入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</si>
  <si>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N.T.</t>
    </r>
    <r>
      <rPr>
        <sz val="9"/>
        <rFont val="新細明體"/>
        <family val="1"/>
      </rPr>
      <t>＄</t>
    </r>
    <r>
      <rPr>
        <sz val="9"/>
        <rFont val="Times New Roman"/>
        <family val="1"/>
      </rPr>
      <t xml:space="preserve">1, 000 </t>
    </r>
  </si>
  <si>
    <r>
      <t>年度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別</t>
    </r>
  </si>
  <si>
    <r>
      <t>92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2003</t>
    </r>
  </si>
  <si>
    <r>
      <t>93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2004</t>
    </r>
  </si>
  <si>
    <r>
      <t>94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2005</t>
    </r>
  </si>
  <si>
    <r>
      <t>95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2006</t>
    </r>
  </si>
  <si>
    <r>
      <t>96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2007</t>
    </r>
  </si>
  <si>
    <r>
      <t>97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2008</t>
    </r>
  </si>
  <si>
    <r>
      <t>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Jan.</t>
    </r>
  </si>
  <si>
    <r>
      <t>2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Feb.</t>
    </r>
  </si>
  <si>
    <r>
      <t>3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Mar.</t>
    </r>
  </si>
  <si>
    <r>
      <t>4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Apr.</t>
    </r>
  </si>
  <si>
    <r>
      <t>5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May.</t>
    </r>
  </si>
  <si>
    <r>
      <t>6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June.</t>
    </r>
  </si>
  <si>
    <r>
      <t>7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June.</t>
    </r>
  </si>
  <si>
    <r>
      <t>8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Aug.</t>
    </r>
  </si>
  <si>
    <r>
      <t>9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Sep.</t>
    </r>
  </si>
  <si>
    <r>
      <t>10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Oct.</t>
    </r>
  </si>
  <si>
    <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Nov.</t>
    </r>
  </si>
  <si>
    <r>
      <t>12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Dec.</t>
    </r>
  </si>
  <si>
    <r>
      <t>表</t>
    </r>
    <r>
      <rPr>
        <sz val="18"/>
        <rFont val="Times New Roman"/>
        <family val="1"/>
      </rPr>
      <t>6-1</t>
    </r>
    <r>
      <rPr>
        <sz val="18"/>
        <rFont val="新細明體"/>
        <family val="1"/>
      </rPr>
      <t>、鄉公庫收支（續一）</t>
    </r>
  </si>
  <si>
    <r>
      <t>2.</t>
    </r>
    <r>
      <rPr>
        <sz val="14"/>
        <rFont val="新細明體"/>
        <family val="1"/>
      </rPr>
      <t>支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出</t>
    </r>
    <r>
      <rPr>
        <sz val="14"/>
        <rFont val="Times New Roman"/>
        <family val="1"/>
      </rPr>
      <t xml:space="preserve"> </t>
    </r>
  </si>
  <si>
    <r>
      <t>2.</t>
    </r>
    <r>
      <rPr>
        <sz val="14"/>
        <rFont val="新細明體"/>
        <family val="1"/>
      </rPr>
      <t>支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出</t>
    </r>
    <r>
      <rPr>
        <sz val="14"/>
        <rFont val="Times New Roman"/>
        <family val="1"/>
      </rPr>
      <t xml:space="preserve"> </t>
    </r>
  </si>
  <si>
    <t>Unit:NT$</t>
  </si>
  <si>
    <r>
      <t>一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般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政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務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 General Administration</t>
    </r>
  </si>
  <si>
    <r>
      <t>經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濟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發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展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出</t>
    </r>
    <r>
      <rPr>
        <sz val="11"/>
        <rFont val="Times New Roman"/>
        <family val="1"/>
      </rPr>
      <t xml:space="preserve">  Economic Development</t>
    </r>
  </si>
  <si>
    <r>
      <t xml:space="preserve"> </t>
    </r>
    <r>
      <rPr>
        <sz val="9"/>
        <rFont val="新細明體"/>
        <family val="1"/>
      </rPr>
      <t>社區發展及環境保護支出</t>
    </r>
    <r>
      <rPr>
        <sz val="9"/>
        <rFont val="Times New Roman"/>
        <family val="1"/>
      </rPr>
      <t xml:space="preserve">                                                                        Community &amp;Development Environmental Protection </t>
    </r>
  </si>
  <si>
    <t>Grand Total</t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</si>
  <si>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                Total</t>
    </r>
  </si>
  <si>
    <r>
      <t>行政支出</t>
    </r>
    <r>
      <rPr>
        <sz val="9"/>
        <rFont val="Times New Roman"/>
        <family val="1"/>
      </rPr>
      <t>Administrative Expenditure</t>
    </r>
  </si>
  <si>
    <r>
      <t>財務支出</t>
    </r>
    <r>
      <rPr>
        <sz val="9"/>
        <rFont val="Times New Roman"/>
        <family val="1"/>
      </rPr>
      <t>Financial Expenditure</t>
    </r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</si>
  <si>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Total</t>
    </r>
  </si>
  <si>
    <r>
      <t>教育支出</t>
    </r>
    <r>
      <rPr>
        <sz val="9"/>
        <rFont val="Times New Roman"/>
        <family val="1"/>
      </rPr>
      <t>Expenditure for Education</t>
    </r>
  </si>
  <si>
    <r>
      <t>科學支出</t>
    </r>
    <r>
      <rPr>
        <sz val="9"/>
        <rFont val="Times New Roman"/>
        <family val="1"/>
      </rPr>
      <t>Expenditure for Science</t>
    </r>
  </si>
  <si>
    <r>
      <t>文化支出</t>
    </r>
    <r>
      <rPr>
        <sz val="9"/>
        <rFont val="Times New Roman"/>
        <family val="1"/>
      </rPr>
      <t>Expenditure for Culture</t>
    </r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</si>
  <si>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            Total</t>
    </r>
  </si>
  <si>
    <r>
      <t>農業支出</t>
    </r>
    <r>
      <rPr>
        <sz val="9"/>
        <rFont val="Times New Roman"/>
        <family val="1"/>
      </rPr>
      <t>Expenditure for Agriculture</t>
    </r>
  </si>
  <si>
    <r>
      <t>工業支出</t>
    </r>
    <r>
      <rPr>
        <sz val="9"/>
        <rFont val="Times New Roman"/>
        <family val="1"/>
      </rPr>
      <t>Expenditure for Industry</t>
    </r>
  </si>
  <si>
    <r>
      <t>交通支出</t>
    </r>
    <r>
      <rPr>
        <sz val="9"/>
        <rFont val="Times New Roman"/>
        <family val="1"/>
      </rPr>
      <t>Expenditure for Communication</t>
    </r>
  </si>
  <si>
    <r>
      <t>其他經濟服務支出</t>
    </r>
    <r>
      <rPr>
        <sz val="9"/>
        <rFont val="Times New Roman"/>
        <family val="1"/>
      </rPr>
      <t>Other Economic Service</t>
    </r>
  </si>
  <si>
    <r>
      <t>債務還本支出</t>
    </r>
    <r>
      <rPr>
        <sz val="9"/>
        <rFont val="Times New Roman"/>
        <family val="1"/>
      </rPr>
      <t>Expenditure for Sinking Fund</t>
    </r>
  </si>
  <si>
    <t>說　　明：財產收入包含財產孳息收入與財產售價及收回收入。</t>
  </si>
  <si>
    <r>
      <t>預</t>
    </r>
    <r>
      <rPr>
        <sz val="14"/>
        <rFont val="Times New Roman"/>
        <family val="1"/>
      </rPr>
      <t xml:space="preserve">      </t>
    </r>
    <r>
      <rPr>
        <sz val="14"/>
        <rFont val="新細明體"/>
        <family val="1"/>
      </rPr>
      <t>算</t>
    </r>
  </si>
  <si>
    <r>
      <t>年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度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別</t>
    </r>
    <r>
      <rPr>
        <sz val="11"/>
        <rFont val="Times New Roman"/>
        <family val="1"/>
      </rPr>
      <t xml:space="preserve">                                        Fiscal Year</t>
    </r>
  </si>
  <si>
    <t>資料來源：本所主計室。</t>
  </si>
  <si>
    <r>
      <t>92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2003</t>
    </r>
  </si>
  <si>
    <r>
      <t>93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2004</t>
    </r>
  </si>
  <si>
    <r>
      <t>94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2005</t>
    </r>
  </si>
  <si>
    <r>
      <t>95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2006</t>
    </r>
  </si>
  <si>
    <r>
      <t>96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2007</t>
    </r>
  </si>
  <si>
    <r>
      <t>97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2008</t>
    </r>
  </si>
  <si>
    <r>
      <t>表</t>
    </r>
    <r>
      <rPr>
        <sz val="18"/>
        <rFont val="Times New Roman"/>
        <family val="1"/>
      </rPr>
      <t>6-1</t>
    </r>
    <r>
      <rPr>
        <sz val="18"/>
        <rFont val="新細明體"/>
        <family val="1"/>
      </rPr>
      <t>、鄉公庫收支</t>
    </r>
    <r>
      <rPr>
        <sz val="18"/>
        <rFont val="Times New Roman"/>
        <family val="1"/>
      </rPr>
      <t>(</t>
    </r>
    <r>
      <rPr>
        <sz val="18"/>
        <rFont val="新細明體"/>
        <family val="1"/>
      </rPr>
      <t>續完</t>
    </r>
    <r>
      <rPr>
        <sz val="18"/>
        <rFont val="Times New Roman"/>
        <family val="1"/>
      </rPr>
      <t>)</t>
    </r>
  </si>
  <si>
    <r>
      <t>表</t>
    </r>
    <r>
      <rPr>
        <sz val="18"/>
        <rFont val="Times New Roman"/>
        <family val="1"/>
      </rPr>
      <t>6-3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 xml:space="preserve">  </t>
    </r>
    <r>
      <rPr>
        <sz val="18"/>
        <rFont val="新細明體"/>
        <family val="1"/>
      </rPr>
      <t>鄉鎮公所歲出預決算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按政事別分</t>
    </r>
    <r>
      <rPr>
        <sz val="18"/>
        <rFont val="Times New Roman"/>
        <family val="1"/>
      </rPr>
      <t>(</t>
    </r>
    <r>
      <rPr>
        <sz val="18"/>
        <rFont val="新細明體"/>
        <family val="1"/>
      </rPr>
      <t>續一</t>
    </r>
    <r>
      <rPr>
        <sz val="18"/>
        <rFont val="Times New Roman"/>
        <family val="1"/>
      </rPr>
      <t xml:space="preserve">)   </t>
    </r>
  </si>
  <si>
    <r>
      <t>表</t>
    </r>
    <r>
      <rPr>
        <sz val="18"/>
        <rFont val="Times New Roman"/>
        <family val="1"/>
      </rPr>
      <t>6-3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鄉鎮公所歲出預決算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按政事別分</t>
    </r>
    <r>
      <rPr>
        <sz val="18"/>
        <rFont val="Times New Roman"/>
        <family val="1"/>
      </rPr>
      <t>(</t>
    </r>
    <r>
      <rPr>
        <sz val="18"/>
        <rFont val="新細明體"/>
        <family val="1"/>
      </rPr>
      <t>續二</t>
    </r>
    <r>
      <rPr>
        <sz val="18"/>
        <rFont val="Times New Roman"/>
        <family val="1"/>
      </rPr>
      <t>)</t>
    </r>
  </si>
  <si>
    <r>
      <t xml:space="preserve">   6-3 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>Budget and Settled Account of Revenues of City Offices (Cont.2)</t>
    </r>
  </si>
  <si>
    <t>金融.財稅 91</t>
  </si>
  <si>
    <r>
      <t>98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2009</t>
    </r>
  </si>
  <si>
    <t>98年度        2009</t>
  </si>
  <si>
    <t>98年度                2009</t>
  </si>
  <si>
    <r>
      <t>98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2009</t>
    </r>
  </si>
  <si>
    <r>
      <t>98</t>
    </r>
    <r>
      <rPr>
        <sz val="11"/>
        <rFont val="新細明體"/>
        <family val="1"/>
      </rPr>
      <t>年度              2009</t>
    </r>
  </si>
  <si>
    <t>金融.財稅 87</t>
  </si>
  <si>
    <r>
      <t>99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  2010</t>
    </r>
  </si>
  <si>
    <t>99年度        2010</t>
  </si>
  <si>
    <t>99年度                2010</t>
  </si>
  <si>
    <r>
      <t>99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2010</t>
    </r>
  </si>
  <si>
    <r>
      <t>99</t>
    </r>
    <r>
      <rPr>
        <sz val="11"/>
        <rFont val="新細明體"/>
        <family val="1"/>
      </rPr>
      <t>年度              2010</t>
    </r>
  </si>
  <si>
    <t>100年度        2011</t>
  </si>
  <si>
    <t>100年度                2011</t>
  </si>
  <si>
    <r>
      <t>100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2011</t>
    </r>
  </si>
  <si>
    <t>100年度              2011</t>
  </si>
  <si>
    <t>101年度        2012</t>
  </si>
  <si>
    <t>101年度                2012</t>
  </si>
  <si>
    <t>101年度              2012</t>
  </si>
  <si>
    <r>
      <t>1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Jan.</t>
    </r>
  </si>
  <si>
    <r>
      <t>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Feb.</t>
    </r>
  </si>
  <si>
    <r>
      <t>3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Mar.</t>
    </r>
  </si>
  <si>
    <r>
      <t>4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Apr.</t>
    </r>
  </si>
  <si>
    <r>
      <t>5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May.</t>
    </r>
  </si>
  <si>
    <r>
      <t>6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June.</t>
    </r>
  </si>
  <si>
    <r>
      <t>7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June.</t>
    </r>
  </si>
  <si>
    <r>
      <t>8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Aug.</t>
    </r>
  </si>
  <si>
    <r>
      <t>9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Sep.</t>
    </r>
  </si>
  <si>
    <r>
      <t>10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Oct.</t>
    </r>
  </si>
  <si>
    <r>
      <t>11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Nov.</t>
    </r>
  </si>
  <si>
    <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Dec.</t>
    </r>
  </si>
  <si>
    <r>
      <t>年度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別</t>
    </r>
  </si>
  <si>
    <r>
      <t>總計</t>
    </r>
    <r>
      <rPr>
        <sz val="10"/>
        <rFont val="Times New Roman"/>
        <family val="1"/>
      </rPr>
      <t xml:space="preserve">                  Crand Total</t>
    </r>
  </si>
  <si>
    <r>
      <t xml:space="preserve">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收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入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　　　　　　</t>
    </r>
  </si>
  <si>
    <r>
      <t>92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2003</t>
    </r>
  </si>
  <si>
    <r>
      <t>92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2003</t>
    </r>
  </si>
  <si>
    <r>
      <t>93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2004</t>
    </r>
  </si>
  <si>
    <r>
      <t>93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2004</t>
    </r>
  </si>
  <si>
    <r>
      <t>94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2005</t>
    </r>
  </si>
  <si>
    <r>
      <t>94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2005</t>
    </r>
  </si>
  <si>
    <r>
      <t>95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2006</t>
    </r>
  </si>
  <si>
    <r>
      <t>95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2006</t>
    </r>
  </si>
  <si>
    <r>
      <t>96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2007</t>
    </r>
  </si>
  <si>
    <r>
      <t>96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2007</t>
    </r>
  </si>
  <si>
    <r>
      <t>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2008</t>
    </r>
  </si>
  <si>
    <r>
      <t>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2008</t>
    </r>
  </si>
  <si>
    <r>
      <t>98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2009</t>
    </r>
  </si>
  <si>
    <r>
      <t>98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2009</t>
    </r>
  </si>
  <si>
    <r>
      <t>99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2010</t>
    </r>
  </si>
  <si>
    <r>
      <t>100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2011</t>
    </r>
  </si>
  <si>
    <r>
      <t>101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2012</t>
    </r>
  </si>
  <si>
    <r>
      <t>7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July</t>
    </r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</si>
  <si>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      Original</t>
    </r>
  </si>
  <si>
    <r>
      <t>追加減後預算</t>
    </r>
    <r>
      <rPr>
        <sz val="9"/>
        <rFont val="Times New Roman"/>
        <family val="1"/>
      </rPr>
      <t>Final</t>
    </r>
  </si>
  <si>
    <r>
      <t xml:space="preserve"> 92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2003</t>
    </r>
  </si>
  <si>
    <r>
      <t xml:space="preserve"> 93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2004</t>
    </r>
  </si>
  <si>
    <r>
      <t xml:space="preserve"> 94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2005</t>
    </r>
  </si>
  <si>
    <r>
      <t xml:space="preserve"> 95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2006</t>
    </r>
  </si>
  <si>
    <r>
      <t xml:space="preserve"> 96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2007</t>
    </r>
  </si>
  <si>
    <r>
      <t xml:space="preserve"> 97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2008</t>
    </r>
  </si>
  <si>
    <r>
      <t xml:space="preserve"> 98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2009</t>
    </r>
  </si>
  <si>
    <r>
      <t xml:space="preserve"> 99 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2010</t>
    </r>
  </si>
  <si>
    <r>
      <t>100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2011</t>
    </r>
  </si>
  <si>
    <r>
      <t>101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2012</t>
    </r>
  </si>
  <si>
    <r>
      <t>92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2003</t>
    </r>
  </si>
  <si>
    <r>
      <t>93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2004</t>
    </r>
  </si>
  <si>
    <r>
      <t>94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2005</t>
    </r>
  </si>
  <si>
    <r>
      <t>95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2006</t>
    </r>
  </si>
  <si>
    <r>
      <t>96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2007</t>
    </r>
  </si>
  <si>
    <r>
      <t>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2008</t>
    </r>
  </si>
  <si>
    <r>
      <t>98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2009</t>
    </r>
  </si>
  <si>
    <r>
      <t>99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2010</t>
    </r>
  </si>
  <si>
    <r>
      <t>100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2011</t>
    </r>
  </si>
  <si>
    <r>
      <t>101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2012</t>
    </r>
  </si>
  <si>
    <r>
      <t>101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2012</t>
    </r>
  </si>
  <si>
    <t>金融.財稅 96</t>
  </si>
  <si>
    <t>金融.財稅 99</t>
  </si>
  <si>
    <t>金融.財稅 89</t>
  </si>
  <si>
    <t>金融.財稅 93</t>
  </si>
  <si>
    <t>金融.財稅 95</t>
  </si>
  <si>
    <r>
      <t>財產售價及收回收入</t>
    </r>
    <r>
      <rPr>
        <sz val="9"/>
        <rFont val="Times New Roman"/>
        <family val="1"/>
      </rPr>
      <t>Public Property</t>
    </r>
  </si>
  <si>
    <r>
      <t>社會保險支出</t>
    </r>
    <r>
      <rPr>
        <sz val="9"/>
        <rFont val="Times New Roman"/>
        <family val="1"/>
      </rPr>
      <t>Expenditure for Social Insurance</t>
    </r>
  </si>
  <si>
    <r>
      <t>社會救助支出</t>
    </r>
    <r>
      <rPr>
        <sz val="9"/>
        <rFont val="Times New Roman"/>
        <family val="1"/>
      </rPr>
      <t>Expenditure for Social Relief</t>
    </r>
  </si>
  <si>
    <r>
      <t>福利服務支出</t>
    </r>
    <r>
      <rPr>
        <sz val="9"/>
        <rFont val="Times New Roman"/>
        <family val="1"/>
      </rPr>
      <t>Expenditure for Beneficial Service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</si>
  <si>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計</t>
    </r>
    <r>
      <rPr>
        <sz val="9"/>
        <rFont val="Times New Roman"/>
        <family val="1"/>
      </rPr>
      <t xml:space="preserve">     Total</t>
    </r>
  </si>
  <si>
    <r>
      <t>社區發展支出</t>
    </r>
    <r>
      <rPr>
        <sz val="9"/>
        <rFont val="Times New Roman"/>
        <family val="1"/>
      </rPr>
      <t>Expenditure for Community Development</t>
    </r>
  </si>
  <si>
    <r>
      <t>環境保護支出</t>
    </r>
    <r>
      <rPr>
        <sz val="9"/>
        <rFont val="Times New Roman"/>
        <family val="1"/>
      </rPr>
      <t>Expenditure for Environmental Protection</t>
    </r>
  </si>
  <si>
    <r>
      <t>退休撫恤支出</t>
    </r>
    <r>
      <rPr>
        <sz val="9"/>
        <rFont val="Times New Roman"/>
        <family val="1"/>
      </rPr>
      <t xml:space="preserve">          Expenditure on Retirement and Pension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</si>
  <si>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計</t>
    </r>
    <r>
      <rPr>
        <sz val="9"/>
        <rFont val="Times New Roman"/>
        <family val="1"/>
      </rPr>
      <t xml:space="preserve">          Total</t>
    </r>
  </si>
  <si>
    <r>
      <t>債務付息支出</t>
    </r>
    <r>
      <rPr>
        <sz val="9"/>
        <rFont val="Times New Roman"/>
        <family val="1"/>
      </rPr>
      <t xml:space="preserve"> Expenditure for Interest Payment </t>
    </r>
  </si>
  <si>
    <r>
      <t>協助支出</t>
    </r>
    <r>
      <rPr>
        <sz val="9"/>
        <rFont val="Times New Roman"/>
        <family val="1"/>
      </rPr>
      <t>Expenditure for Assistance</t>
    </r>
  </si>
  <si>
    <r>
      <t>以前年度支出</t>
    </r>
    <r>
      <rPr>
        <sz val="9"/>
        <rFont val="Times New Roman"/>
        <family val="1"/>
      </rPr>
      <t xml:space="preserve">  Previous Year Expend-itures</t>
    </r>
  </si>
  <si>
    <r>
      <t>預算外支出</t>
    </r>
    <r>
      <rPr>
        <sz val="9"/>
        <rFont val="Times New Roman"/>
        <family val="1"/>
      </rPr>
      <t xml:space="preserve"> Extra-budget expenditure</t>
    </r>
  </si>
  <si>
    <r>
      <t>公庫結存</t>
    </r>
    <r>
      <rPr>
        <sz val="10"/>
        <rFont val="Times New Roman"/>
        <family val="1"/>
      </rPr>
      <t xml:space="preserve">  Treasury Remain-der</t>
    </r>
  </si>
  <si>
    <t>15</t>
  </si>
  <si>
    <r>
      <t>102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2013</t>
    </r>
  </si>
  <si>
    <r>
      <t>102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2013</t>
    </r>
  </si>
  <si>
    <t>102年度        2013</t>
  </si>
  <si>
    <r>
      <t>102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2013</t>
    </r>
  </si>
  <si>
    <t>102年度              2013</t>
  </si>
  <si>
    <r>
      <t>101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2012</t>
    </r>
  </si>
  <si>
    <r>
      <t>102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2013</t>
    </r>
  </si>
  <si>
    <r>
      <t>100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 xml:space="preserve">       2011</t>
    </r>
  </si>
  <si>
    <r>
      <t>財產孳息收入</t>
    </r>
    <r>
      <rPr>
        <sz val="9"/>
        <rFont val="Times New Roman"/>
        <family val="1"/>
      </rPr>
      <t>Interest Property</t>
    </r>
  </si>
  <si>
    <r>
      <t>捐獻及贈與收入</t>
    </r>
    <r>
      <rPr>
        <sz val="9"/>
        <rFont val="Times New Roman"/>
        <family val="1"/>
      </rPr>
      <t>Contribution and Donation</t>
    </r>
  </si>
  <si>
    <r>
      <t>其他收入</t>
    </r>
    <r>
      <rPr>
        <sz val="9"/>
        <rFont val="Times New Roman"/>
        <family val="1"/>
      </rPr>
      <t>Others</t>
    </r>
  </si>
  <si>
    <t>賒借收入</t>
  </si>
  <si>
    <r>
      <t>以前年度收入</t>
    </r>
    <r>
      <rPr>
        <sz val="9"/>
        <rFont val="Times New Roman"/>
        <family val="1"/>
      </rPr>
      <t xml:space="preserve">  Previous Year Revenues</t>
    </r>
  </si>
  <si>
    <r>
      <t>預算外收入</t>
    </r>
    <r>
      <rPr>
        <sz val="9"/>
        <rFont val="Times New Roman"/>
        <family val="1"/>
      </rPr>
      <t>Extrabudget Revenues</t>
    </r>
  </si>
  <si>
    <r>
      <t>合計</t>
    </r>
    <r>
      <rPr>
        <sz val="9"/>
        <rFont val="Times New Roman"/>
        <family val="1"/>
      </rPr>
      <t xml:space="preserve">                Total</t>
    </r>
  </si>
  <si>
    <r>
      <t>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收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入</t>
    </r>
    <r>
      <rPr>
        <sz val="9"/>
        <rFont val="Times New Roman"/>
        <family val="1"/>
      </rPr>
      <t xml:space="preserve"> Taxes</t>
    </r>
  </si>
  <si>
    <r>
      <t>工程受益費收入</t>
    </r>
    <r>
      <rPr>
        <sz val="9"/>
        <rFont val="Times New Roman"/>
        <family val="1"/>
      </rPr>
      <t>Special Assessment</t>
    </r>
  </si>
  <si>
    <r>
      <t xml:space="preserve">罰款及賠償收入
</t>
    </r>
    <r>
      <rPr>
        <sz val="9"/>
        <rFont val="Times New Roman"/>
        <family val="1"/>
      </rPr>
      <t>Fines and Indemnity</t>
    </r>
  </si>
  <si>
    <r>
      <t>規費收入</t>
    </r>
    <r>
      <rPr>
        <sz val="9"/>
        <rFont val="Times New Roman"/>
        <family val="1"/>
      </rPr>
      <t>Receipts from Fees</t>
    </r>
  </si>
  <si>
    <r>
      <t>信託管理收入</t>
    </r>
    <r>
      <rPr>
        <sz val="9"/>
        <rFont val="Times New Roman"/>
        <family val="1"/>
      </rPr>
      <t>Trust Account</t>
    </r>
  </si>
  <si>
    <t>財產收入</t>
  </si>
  <si>
    <t>Public Property</t>
  </si>
  <si>
    <r>
      <t>補</t>
    </r>
    <r>
      <rPr>
        <sz val="9"/>
        <rFont val="新細明體"/>
        <family val="1"/>
      </rPr>
      <t>助</t>
    </r>
    <r>
      <rPr>
        <sz val="9"/>
        <rFont val="新細明體"/>
        <family val="1"/>
      </rPr>
      <t>及</t>
    </r>
    <r>
      <rPr>
        <sz val="9"/>
        <rFont val="新細明體"/>
        <family val="1"/>
      </rPr>
      <t>協</t>
    </r>
    <r>
      <rPr>
        <sz val="9"/>
        <rFont val="新細明體"/>
        <family val="1"/>
      </rPr>
      <t>助</t>
    </r>
    <r>
      <rPr>
        <sz val="9"/>
        <rFont val="新細明體"/>
        <family val="1"/>
      </rPr>
      <t>收</t>
    </r>
    <r>
      <rPr>
        <sz val="9"/>
        <rFont val="新細明體"/>
        <family val="1"/>
      </rPr>
      <t>入</t>
    </r>
    <r>
      <rPr>
        <sz val="9"/>
        <rFont val="Times New Roman"/>
        <family val="1"/>
      </rPr>
      <t>Assistance and Donation</t>
    </r>
  </si>
  <si>
    <r>
      <t xml:space="preserve">營業盈餘及     事業收入 </t>
    </r>
    <r>
      <rPr>
        <sz val="9"/>
        <rFont val="Times New Roman"/>
        <family val="1"/>
      </rPr>
      <t>Surplus Public Enterprises</t>
    </r>
    <r>
      <rPr>
        <sz val="9"/>
        <rFont val="新細明體"/>
        <family val="1"/>
      </rPr>
      <t>　　</t>
    </r>
  </si>
  <si>
    <r>
      <t>捐獻及贈       與收入</t>
    </r>
    <r>
      <rPr>
        <sz val="9"/>
        <rFont val="Times New Roman"/>
        <family val="1"/>
      </rPr>
      <t>Contribution and Donation</t>
    </r>
  </si>
  <si>
    <r>
      <t>民政支出</t>
    </r>
    <r>
      <rPr>
        <sz val="10"/>
        <rFont val="Times New Roman"/>
        <family val="1"/>
      </rPr>
      <t xml:space="preserve">        </t>
    </r>
    <r>
      <rPr>
        <sz val="9"/>
        <rFont val="Times New Roman"/>
        <family val="1"/>
      </rPr>
      <t>Civil Affairs Expenditure</t>
    </r>
  </si>
  <si>
    <r>
      <t xml:space="preserve">其他支出        </t>
    </r>
    <r>
      <rPr>
        <sz val="9"/>
        <rFont val="Times New Roman"/>
        <family val="1"/>
      </rPr>
      <t>Other Expenditure</t>
    </r>
  </si>
  <si>
    <r>
      <t>總　　計</t>
    </r>
    <r>
      <rPr>
        <sz val="9"/>
        <rFont val="Times New Roman"/>
        <family val="1"/>
      </rPr>
      <t xml:space="preserve">                Grand Total</t>
    </r>
  </si>
  <si>
    <r>
      <t>稅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收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入</t>
    </r>
    <r>
      <rPr>
        <sz val="9"/>
        <rFont val="Times New Roman"/>
        <family val="1"/>
      </rPr>
      <t xml:space="preserve"> Taxes</t>
    </r>
  </si>
  <si>
    <r>
      <t>工程受益費收入</t>
    </r>
    <r>
      <rPr>
        <sz val="9"/>
        <rFont val="Times New Roman"/>
        <family val="1"/>
      </rPr>
      <t xml:space="preserve">    Special Assessment</t>
    </r>
  </si>
  <si>
    <r>
      <t>罰款及賠償收入</t>
    </r>
    <r>
      <rPr>
        <sz val="9"/>
        <rFont val="Times New Roman"/>
        <family val="1"/>
      </rPr>
      <t xml:space="preserve">     Fines and Indemnity</t>
    </r>
  </si>
  <si>
    <r>
      <t>規費收入</t>
    </r>
    <r>
      <rPr>
        <sz val="9"/>
        <rFont val="Times New Roman"/>
        <family val="1"/>
      </rPr>
      <t xml:space="preserve">          Receipts from Fees</t>
    </r>
  </si>
  <si>
    <r>
      <t>營業盈餘及事業收入</t>
    </r>
    <r>
      <rPr>
        <sz val="9"/>
        <rFont val="Times New Roman"/>
        <family val="1"/>
      </rPr>
      <t xml:space="preserve">   Surplus  Public Enterprises</t>
    </r>
  </si>
  <si>
    <r>
      <t>補助及協助收入</t>
    </r>
    <r>
      <rPr>
        <sz val="9"/>
        <rFont val="Times New Roman"/>
        <family val="1"/>
      </rPr>
      <t xml:space="preserve">   Assistance and Donation</t>
    </r>
  </si>
  <si>
    <r>
      <t>其他收入</t>
    </r>
    <r>
      <rPr>
        <sz val="9"/>
        <rFont val="Times New Roman"/>
        <family val="1"/>
      </rPr>
      <t xml:space="preserve">             Others</t>
    </r>
  </si>
  <si>
    <r>
      <t>公債及賒借收入</t>
    </r>
    <r>
      <rPr>
        <sz val="9"/>
        <rFont val="Times New Roman"/>
        <family val="1"/>
      </rPr>
      <t xml:space="preserve">                Receipts from Debt</t>
    </r>
  </si>
  <si>
    <r>
      <t>財產收入</t>
    </r>
    <r>
      <rPr>
        <sz val="9"/>
        <rFont val="Times New Roman"/>
        <family val="1"/>
      </rPr>
      <t xml:space="preserve">              Public Property</t>
    </r>
  </si>
  <si>
    <t>年 度 別            Fiscal Year</t>
  </si>
  <si>
    <t>財產收入              Public Property</t>
  </si>
  <si>
    <r>
      <t xml:space="preserve"> 6-3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>Budget and Settled Account of Expenditures of City Offices</t>
    </r>
  </si>
  <si>
    <t xml:space="preserve">              預             算                    </t>
  </si>
  <si>
    <t xml:space="preserve">                     表6-3、鄉鎮公所歲出預決算 － 按政事別分    </t>
  </si>
  <si>
    <r>
      <t>表</t>
    </r>
    <r>
      <rPr>
        <sz val="18"/>
        <rFont val="Times New Roman"/>
        <family val="1"/>
      </rPr>
      <t>6-2</t>
    </r>
    <r>
      <rPr>
        <sz val="18"/>
        <rFont val="新細明體"/>
        <family val="1"/>
      </rPr>
      <t>、鄉鎮公所歲入預決算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－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按來源別分</t>
    </r>
    <r>
      <rPr>
        <sz val="18"/>
        <rFont val="Times New Roman"/>
        <family val="1"/>
      </rPr>
      <t>(</t>
    </r>
    <r>
      <rPr>
        <sz val="18"/>
        <rFont val="新細明體"/>
        <family val="1"/>
      </rPr>
      <t>續一</t>
    </r>
    <r>
      <rPr>
        <sz val="18"/>
        <rFont val="Times New Roman"/>
        <family val="1"/>
      </rPr>
      <t>)</t>
    </r>
  </si>
  <si>
    <r>
      <t>99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2010</t>
    </r>
  </si>
  <si>
    <r>
      <t>決</t>
    </r>
    <r>
      <rPr>
        <sz val="14"/>
        <rFont val="Times New Roman"/>
        <family val="1"/>
      </rPr>
      <t xml:space="preserve">    </t>
    </r>
    <r>
      <rPr>
        <sz val="14"/>
        <rFont val="新細明體"/>
        <family val="1"/>
      </rPr>
      <t>算</t>
    </r>
    <r>
      <rPr>
        <sz val="14"/>
        <rFont val="Times New Roman"/>
        <family val="1"/>
      </rPr>
      <t xml:space="preserve">                                     Settled</t>
    </r>
  </si>
  <si>
    <t>金融.財稅 85</t>
  </si>
  <si>
    <t>金融.財稅 84</t>
  </si>
  <si>
    <t>金融.財稅 86</t>
  </si>
  <si>
    <t>金融.財稅 88</t>
  </si>
  <si>
    <t>金融.財稅 90</t>
  </si>
  <si>
    <t>金融.財稅 92</t>
  </si>
  <si>
    <t>金融.財稅 94</t>
  </si>
  <si>
    <t>金融.財稅 98</t>
  </si>
  <si>
    <r>
      <t>6-2</t>
    </r>
    <r>
      <rPr>
        <sz val="17"/>
        <rFont val="新細明體"/>
        <family val="1"/>
      </rPr>
      <t>、</t>
    </r>
    <r>
      <rPr>
        <sz val="17"/>
        <rFont val="Times New Roman"/>
        <family val="1"/>
      </rPr>
      <t>Budget and Settled Account of Revenues of City Offices(cont.1)</t>
    </r>
  </si>
  <si>
    <t>金融.財稅 97</t>
  </si>
  <si>
    <t>金融.財稅 98</t>
  </si>
  <si>
    <t>金融.財稅 99</t>
  </si>
  <si>
    <t>0</t>
  </si>
  <si>
    <r>
      <t>102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2013</t>
    </r>
  </si>
  <si>
    <r>
      <t xml:space="preserve"> 103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2014</t>
    </r>
  </si>
  <si>
    <r>
      <t>103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2014</t>
    </r>
  </si>
  <si>
    <r>
      <t>103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2014</t>
    </r>
  </si>
  <si>
    <t>103年度        2014</t>
  </si>
  <si>
    <r>
      <t>103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2014</t>
    </r>
  </si>
  <si>
    <r>
      <t>103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2014</t>
    </r>
  </si>
  <si>
    <t>103年度              2014</t>
  </si>
  <si>
    <r>
      <t xml:space="preserve"> 104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2015</t>
    </r>
  </si>
  <si>
    <r>
      <t>104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2015</t>
    </r>
  </si>
  <si>
    <t>資料來源：本所財經課</t>
  </si>
  <si>
    <r>
      <t>104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2015</t>
    </r>
  </si>
  <si>
    <t>104年度        2015</t>
  </si>
  <si>
    <r>
      <t>104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2015</t>
    </r>
  </si>
  <si>
    <t>102年度                2013</t>
  </si>
  <si>
    <t>103年度                2014</t>
  </si>
  <si>
    <t>104年度                2015</t>
  </si>
  <si>
    <r>
      <t>104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2015</t>
    </r>
  </si>
  <si>
    <t>104年度              2015</t>
  </si>
  <si>
    <r>
      <t>105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2016</t>
    </r>
  </si>
  <si>
    <r>
      <t>105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2016</t>
    </r>
  </si>
  <si>
    <t>105年度        2016</t>
  </si>
  <si>
    <r>
      <t>105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2016</t>
    </r>
  </si>
  <si>
    <t>105年度                2016</t>
  </si>
  <si>
    <r>
      <t>105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2016</t>
    </r>
  </si>
  <si>
    <t>105年度              2016</t>
  </si>
  <si>
    <r>
      <t xml:space="preserve"> 105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2016</t>
    </r>
  </si>
  <si>
    <r>
      <t>105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2016</t>
    </r>
  </si>
  <si>
    <r>
      <t xml:space="preserve"> 106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2017</t>
    </r>
  </si>
  <si>
    <r>
      <t>106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2017</t>
    </r>
  </si>
  <si>
    <r>
      <t>106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2017</t>
    </r>
  </si>
  <si>
    <r>
      <t>106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2017</t>
    </r>
  </si>
  <si>
    <t>106年度        2017</t>
  </si>
  <si>
    <r>
      <t>106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2017</t>
    </r>
  </si>
  <si>
    <t>106年度                2017</t>
  </si>
  <si>
    <r>
      <t>106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2017</t>
    </r>
  </si>
  <si>
    <t>106年度              2017</t>
  </si>
  <si>
    <r>
      <t>107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2018</t>
    </r>
  </si>
  <si>
    <r>
      <t xml:space="preserve"> 107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2018</t>
    </r>
  </si>
  <si>
    <r>
      <t>107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2018</t>
    </r>
  </si>
  <si>
    <t>107年度        2018</t>
  </si>
  <si>
    <r>
      <t>107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2018</t>
    </r>
  </si>
  <si>
    <t>107年度                2018</t>
  </si>
  <si>
    <r>
      <t>107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2018</t>
    </r>
  </si>
  <si>
    <t>107年度              2018</t>
  </si>
  <si>
    <r>
      <t>立法支出</t>
    </r>
    <r>
      <rPr>
        <sz val="9"/>
        <rFont val="Times New Roman"/>
        <family val="1"/>
      </rPr>
      <t>Expenditure for  Political Function</t>
    </r>
  </si>
  <si>
    <r>
      <t>107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2018</t>
    </r>
  </si>
  <si>
    <r>
      <t>立法支出</t>
    </r>
    <r>
      <rPr>
        <sz val="9"/>
        <rFont val="新細明體"/>
        <family val="1"/>
      </rPr>
      <t>Expenditure for Political Function</t>
    </r>
  </si>
  <si>
    <r>
      <t>立法支出</t>
    </r>
    <r>
      <rPr>
        <sz val="9"/>
        <rFont val="新細明體"/>
        <family val="1"/>
      </rPr>
      <t>Expenditure for Political Function</t>
    </r>
  </si>
  <si>
    <r>
      <t xml:space="preserve"> 108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    2019</t>
    </r>
  </si>
  <si>
    <r>
      <t>108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      2019</t>
    </r>
  </si>
  <si>
    <r>
      <t>108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2019</t>
    </r>
  </si>
  <si>
    <t>108年度        2019</t>
  </si>
  <si>
    <r>
      <t>108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2019</t>
    </r>
  </si>
  <si>
    <t>108年度                2019</t>
  </si>
  <si>
    <r>
      <t>108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 xml:space="preserve">   2019</t>
    </r>
  </si>
  <si>
    <t>108年度              2019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</si>
</sst>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0"/>
    <numFmt numFmtId="178" formatCode="m&quot;月&quot;d&quot;日&quot;"/>
    <numFmt numFmtId="179" formatCode="#,##0;\-#,##0;&quot;-&quot;"/>
    <numFmt numFmtId="180" formatCode="0.00_ "/>
    <numFmt numFmtId="181" formatCode="#,##0_);[Red]\(#,##0\)"/>
    <numFmt numFmtId="182" formatCode="#,##0_ ;[Red]\-#,##0\ "/>
    <numFmt numFmtId="183" formatCode="#,##0.00_);\(#,##0.00\)"/>
    <numFmt numFmtId="184" formatCode="#,##0_ "/>
    <numFmt numFmtId="185" formatCode="#,##0_);\(#,##0\)"/>
    <numFmt numFmtId="186" formatCode="#,##0;[Red]#,##0"/>
    <numFmt numFmtId="187" formatCode="0_);\(0\)"/>
    <numFmt numFmtId="188" formatCode="_-* #,##0.0_-;\-* #,##0.0_-;_-* &quot;-&quot;??_-;_-@_-"/>
    <numFmt numFmtId="189" formatCode="_-* #,##0_-;\-* #,##0_-;_-* &quot;-&quot;??_-;_-@_-"/>
    <numFmt numFmtId="190" formatCode="0_ "/>
    <numFmt numFmtId="191" formatCode="0.0_ "/>
    <numFmt numFmtId="192" formatCode="#,##0.0_);\(#,##0.0\)"/>
    <numFmt numFmtId="193" formatCode="#,##0.000_);\(#,##0.000\)"/>
    <numFmt numFmtId="194" formatCode="_-* #,##0.0_-;\-* #,##0.0_-;_-* &quot;-&quot;_-;_-@_-"/>
    <numFmt numFmtId="195" formatCode="_-* #,##0.00_-;\-* #,##0.00_-;_-* &quot;-&quot;_-;_-@_-"/>
    <numFmt numFmtId="196" formatCode="_-* #\ ###\ ##0_-;\-* #,##0_-;_-* &quot;-&quot;_-;_-@_-"/>
    <numFmt numFmtId="197" formatCode="_(* #,##0.00_);_(* \(#,##0.00\);_(* &quot;-&quot;??_);_(@_)"/>
    <numFmt numFmtId="198" formatCode="_-* #,##0.0_-;\-* #,##0.0_-;_-* &quot;-&quot;?_-;_-@_-"/>
    <numFmt numFmtId="199" formatCode="_-* #,##0.000_-;\-* #,##0.000_-;_-* &quot;-&quot;???_-;_-@_-"/>
    <numFmt numFmtId="200" formatCode="[$-404]AM/PM\ hh:mm:ss"/>
    <numFmt numFmtId="201" formatCode="000"/>
  </numFmts>
  <fonts count="67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10"/>
      <name val="Times New Roman"/>
      <family val="1"/>
    </font>
    <font>
      <b/>
      <sz val="12"/>
      <name val="Times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華康中黑體"/>
      <family val="3"/>
    </font>
    <font>
      <sz val="10"/>
      <name val="Arial"/>
      <family val="2"/>
    </font>
    <font>
      <sz val="14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14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b/>
      <sz val="10"/>
      <name val="Times New Roman"/>
      <family val="1"/>
    </font>
    <font>
      <sz val="10"/>
      <name val="細明體"/>
      <family val="3"/>
    </font>
    <font>
      <sz val="9"/>
      <name val="細明體"/>
      <family val="3"/>
    </font>
    <font>
      <sz val="17"/>
      <name val="Times New Roman"/>
      <family val="1"/>
    </font>
    <font>
      <sz val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 applyNumberFormat="0" applyFont="0" applyBorder="0" applyAlignment="0"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0" fontId="7" fillId="0" borderId="2">
      <alignment/>
      <protection/>
    </xf>
    <xf numFmtId="9" fontId="0" fillId="0" borderId="0" applyFont="0" applyFill="0" applyBorder="0" applyAlignment="0" applyProtection="0"/>
    <xf numFmtId="0" fontId="54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0" fillId="23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0" fontId="63" fillId="22" borderId="9" applyNumberFormat="0" applyAlignment="0" applyProtection="0"/>
    <xf numFmtId="0" fontId="64" fillId="31" borderId="10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 horizontal="center" vertical="center" wrapText="1"/>
    </xf>
    <xf numFmtId="41" fontId="0" fillId="0" borderId="0" xfId="0" applyNumberFormat="1" applyBorder="1" applyAlignment="1">
      <alignment/>
    </xf>
    <xf numFmtId="185" fontId="9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1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1" fontId="8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1" fontId="0" fillId="0" borderId="0" xfId="0" applyNumberFormat="1" applyFont="1" applyAlignment="1">
      <alignment/>
    </xf>
    <xf numFmtId="41" fontId="10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3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1" fontId="3" fillId="0" borderId="0" xfId="0" applyNumberFormat="1" applyFont="1" applyAlignment="1">
      <alignment horizontal="center" vertical="center" wrapText="1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/>
    </xf>
    <xf numFmtId="41" fontId="1" fillId="0" borderId="0" xfId="0" applyNumberFormat="1" applyFont="1" applyBorder="1" applyAlignment="1" quotePrefix="1">
      <alignment horizontal="left" vertical="center"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 quotePrefix="1">
      <alignment/>
    </xf>
    <xf numFmtId="41" fontId="2" fillId="0" borderId="0" xfId="0" applyNumberFormat="1" applyFont="1" applyBorder="1" applyAlignment="1">
      <alignment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41" fontId="20" fillId="0" borderId="2" xfId="0" applyNumberFormat="1" applyFont="1" applyBorder="1" applyAlignment="1">
      <alignment horizontal="center" vertical="center" wrapText="1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1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horizontal="centerContinuous"/>
    </xf>
    <xf numFmtId="41" fontId="22" fillId="0" borderId="0" xfId="0" applyNumberFormat="1" applyFont="1" applyBorder="1" applyAlignment="1">
      <alignment horizontal="centerContinuous"/>
    </xf>
    <xf numFmtId="41" fontId="22" fillId="0" borderId="0" xfId="0" applyNumberFormat="1" applyFont="1" applyBorder="1" applyAlignment="1" quotePrefix="1">
      <alignment horizontal="centerContinuous"/>
    </xf>
    <xf numFmtId="41" fontId="1" fillId="0" borderId="11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horizontal="left" vertical="center"/>
    </xf>
    <xf numFmtId="38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 quotePrefix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 quotePrefix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38" fontId="8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85" fontId="2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1" fontId="3" fillId="0" borderId="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Fill="1" applyAlignment="1">
      <alignment/>
    </xf>
    <xf numFmtId="41" fontId="3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181" fontId="0" fillId="0" borderId="0" xfId="0" applyNumberFormat="1" applyAlignment="1">
      <alignment vertical="center"/>
    </xf>
    <xf numFmtId="181" fontId="2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41" fontId="1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/>
    </xf>
    <xf numFmtId="41" fontId="19" fillId="0" borderId="0" xfId="0" applyNumberFormat="1" applyFont="1" applyBorder="1" applyAlignment="1">
      <alignment/>
    </xf>
    <xf numFmtId="185" fontId="19" fillId="0" borderId="0" xfId="0" applyNumberFormat="1" applyFont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center" vertical="center"/>
    </xf>
    <xf numFmtId="185" fontId="19" fillId="0" borderId="0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20" fillId="0" borderId="2" xfId="0" applyNumberFormat="1" applyFont="1" applyFill="1" applyBorder="1" applyAlignment="1">
      <alignment horizontal="center" vertical="center" wrapText="1"/>
    </xf>
    <xf numFmtId="41" fontId="19" fillId="0" borderId="15" xfId="0" applyNumberFormat="1" applyFont="1" applyFill="1" applyBorder="1" applyAlignment="1">
      <alignment horizontal="center" vertical="center"/>
    </xf>
    <xf numFmtId="41" fontId="19" fillId="0" borderId="11" xfId="0" applyNumberFormat="1" applyFont="1" applyFill="1" applyBorder="1" applyAlignment="1">
      <alignment horizontal="center" vertical="center"/>
    </xf>
    <xf numFmtId="185" fontId="19" fillId="0" borderId="11" xfId="0" applyNumberFormat="1" applyFont="1" applyFill="1" applyBorder="1" applyAlignment="1">
      <alignment horizontal="right" vertical="center"/>
    </xf>
    <xf numFmtId="41" fontId="19" fillId="0" borderId="11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right" vertical="center"/>
    </xf>
    <xf numFmtId="41" fontId="26" fillId="0" borderId="0" xfId="0" applyNumberFormat="1" applyFont="1" applyAlignment="1">
      <alignment/>
    </xf>
    <xf numFmtId="41" fontId="26" fillId="0" borderId="0" xfId="0" applyNumberFormat="1" applyFont="1" applyAlignment="1">
      <alignment horizontal="left" vertical="center"/>
    </xf>
    <xf numFmtId="41" fontId="26" fillId="0" borderId="0" xfId="0" applyNumberFormat="1" applyFont="1" applyAlignment="1">
      <alignment horizontal="right" vertical="center"/>
    </xf>
    <xf numFmtId="41" fontId="1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horizontal="right" vertical="center"/>
    </xf>
    <xf numFmtId="41" fontId="22" fillId="0" borderId="0" xfId="0" applyNumberFormat="1" applyFont="1" applyAlignment="1">
      <alignment/>
    </xf>
    <xf numFmtId="41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89" fontId="19" fillId="0" borderId="11" xfId="35" applyNumberFormat="1" applyFont="1" applyFill="1" applyBorder="1" applyAlignment="1">
      <alignment horizontal="right" vertical="center"/>
    </xf>
    <xf numFmtId="41" fontId="6" fillId="0" borderId="0" xfId="35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11" xfId="35" applyNumberFormat="1" applyFont="1" applyFill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/>
    </xf>
    <xf numFmtId="0" fontId="2" fillId="0" borderId="2" xfId="0" applyFont="1" applyBorder="1" applyAlignment="1">
      <alignment horizontal="center" vertical="center" wrapText="1"/>
    </xf>
    <xf numFmtId="189" fontId="3" fillId="0" borderId="0" xfId="0" applyNumberFormat="1" applyFont="1" applyBorder="1" applyAlignment="1" quotePrefix="1">
      <alignment horizontal="center" vertical="center"/>
    </xf>
    <xf numFmtId="189" fontId="3" fillId="0" borderId="0" xfId="0" applyNumberFormat="1" applyFont="1" applyBorder="1" applyAlignment="1">
      <alignment horizontal="center" vertical="center"/>
    </xf>
    <xf numFmtId="189" fontId="3" fillId="0" borderId="0" xfId="35" applyNumberFormat="1" applyFont="1" applyAlignment="1">
      <alignment horizontal="center" vertical="center"/>
    </xf>
    <xf numFmtId="189" fontId="9" fillId="0" borderId="0" xfId="35" applyNumberFormat="1" applyFont="1" applyAlignment="1">
      <alignment horizontal="center" vertical="center"/>
    </xf>
    <xf numFmtId="189" fontId="3" fillId="0" borderId="0" xfId="35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89" fontId="3" fillId="0" borderId="0" xfId="35" applyNumberFormat="1" applyFont="1" applyFill="1" applyAlignment="1">
      <alignment horizontal="center" vertical="center"/>
    </xf>
    <xf numFmtId="189" fontId="9" fillId="0" borderId="0" xfId="35" applyNumberFormat="1" applyFont="1" applyFill="1" applyAlignment="1">
      <alignment horizontal="center" vertical="center"/>
    </xf>
    <xf numFmtId="189" fontId="3" fillId="0" borderId="0" xfId="35" applyNumberFormat="1" applyFont="1" applyFill="1" applyBorder="1" applyAlignment="1">
      <alignment horizontal="center" vertical="center"/>
    </xf>
    <xf numFmtId="189" fontId="9" fillId="0" borderId="0" xfId="35" applyNumberFormat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189" fontId="2" fillId="0" borderId="0" xfId="35" applyNumberFormat="1" applyFont="1" applyBorder="1" applyAlignment="1">
      <alignment horizontal="center" vertical="center"/>
    </xf>
    <xf numFmtId="189" fontId="2" fillId="0" borderId="0" xfId="35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/>
    </xf>
    <xf numFmtId="189" fontId="2" fillId="0" borderId="11" xfId="35" applyNumberFormat="1" applyFont="1" applyFill="1" applyBorder="1" applyAlignment="1">
      <alignment horizontal="center" vertical="center"/>
    </xf>
    <xf numFmtId="189" fontId="19" fillId="0" borderId="0" xfId="35" applyNumberFormat="1" applyFont="1" applyFill="1" applyBorder="1" applyAlignment="1">
      <alignment horizontal="right" vertical="center"/>
    </xf>
    <xf numFmtId="189" fontId="3" fillId="0" borderId="11" xfId="35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1" fontId="0" fillId="0" borderId="0" xfId="0" applyNumberFormat="1" applyFill="1" applyAlignment="1">
      <alignment horizontal="center" vertical="center"/>
    </xf>
    <xf numFmtId="196" fontId="2" fillId="0" borderId="16" xfId="34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8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41" fontId="21" fillId="0" borderId="0" xfId="0" applyNumberFormat="1" applyFont="1" applyBorder="1" applyAlignment="1">
      <alignment vertical="center" wrapText="1"/>
    </xf>
    <xf numFmtId="41" fontId="22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41" fontId="3" fillId="33" borderId="0" xfId="0" applyNumberFormat="1" applyFont="1" applyFill="1" applyBorder="1" applyAlignment="1">
      <alignment horizontal="center" vertical="center"/>
    </xf>
    <xf numFmtId="41" fontId="3" fillId="33" borderId="11" xfId="0" applyNumberFormat="1" applyFont="1" applyFill="1" applyBorder="1" applyAlignment="1">
      <alignment horizontal="center" vertical="center"/>
    </xf>
    <xf numFmtId="41" fontId="3" fillId="33" borderId="0" xfId="0" applyNumberFormat="1" applyFont="1" applyFill="1" applyAlignment="1">
      <alignment vertical="center"/>
    </xf>
    <xf numFmtId="41" fontId="8" fillId="33" borderId="0" xfId="0" applyNumberFormat="1" applyFont="1" applyFill="1" applyAlignment="1">
      <alignment vertical="center"/>
    </xf>
    <xf numFmtId="41" fontId="3" fillId="33" borderId="0" xfId="0" applyNumberFormat="1" applyFont="1" applyFill="1" applyAlignment="1">
      <alignment/>
    </xf>
    <xf numFmtId="41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1" fontId="6" fillId="0" borderId="19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 quotePrefix="1">
      <alignment horizontal="center" vertical="center"/>
    </xf>
    <xf numFmtId="41" fontId="6" fillId="0" borderId="21" xfId="0" applyNumberFormat="1" applyFont="1" applyBorder="1" applyAlignment="1" quotePrefix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quotePrefix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2" xfId="35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33" borderId="2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89" fontId="3" fillId="0" borderId="19" xfId="35" applyNumberFormat="1" applyFont="1" applyFill="1" applyBorder="1" applyAlignment="1">
      <alignment horizontal="center" vertical="center"/>
    </xf>
    <xf numFmtId="189" fontId="3" fillId="0" borderId="20" xfId="35" applyNumberFormat="1" applyFont="1" applyFill="1" applyBorder="1" applyAlignment="1">
      <alignment horizontal="center" vertical="center"/>
    </xf>
    <xf numFmtId="189" fontId="3" fillId="0" borderId="21" xfId="35" applyNumberFormat="1" applyFont="1" applyFill="1" applyBorder="1" applyAlignment="1">
      <alignment horizontal="center" vertical="center"/>
    </xf>
    <xf numFmtId="189" fontId="3" fillId="0" borderId="15" xfId="35" applyNumberFormat="1" applyFont="1" applyFill="1" applyBorder="1" applyAlignment="1">
      <alignment horizontal="center" vertical="center"/>
    </xf>
    <xf numFmtId="189" fontId="3" fillId="0" borderId="2" xfId="35" applyNumberFormat="1" applyFont="1" applyFill="1" applyBorder="1" applyAlignment="1">
      <alignment horizontal="center" vertical="center"/>
    </xf>
    <xf numFmtId="189" fontId="3" fillId="0" borderId="23" xfId="35" applyNumberFormat="1" applyFont="1" applyFill="1" applyBorder="1" applyAlignment="1">
      <alignment horizontal="center" vertical="center"/>
    </xf>
    <xf numFmtId="41" fontId="1" fillId="0" borderId="19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41" fontId="1" fillId="0" borderId="21" xfId="0" applyNumberFormat="1" applyFont="1" applyBorder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15" xfId="0" applyNumberFormat="1" applyFont="1" applyFill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189" fontId="2" fillId="0" borderId="2" xfId="35" applyNumberFormat="1" applyFont="1" applyBorder="1" applyAlignment="1">
      <alignment horizontal="center" vertical="center"/>
    </xf>
    <xf numFmtId="189" fontId="2" fillId="0" borderId="2" xfId="35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189" fontId="2" fillId="0" borderId="23" xfId="35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1" fontId="2" fillId="0" borderId="21" xfId="0" applyNumberFormat="1" applyFont="1" applyBorder="1" applyAlignment="1">
      <alignment horizontal="center" vertical="center"/>
    </xf>
    <xf numFmtId="189" fontId="2" fillId="0" borderId="15" xfId="35" applyNumberFormat="1" applyFont="1" applyBorder="1" applyAlignment="1">
      <alignment horizontal="center" vertical="center"/>
    </xf>
    <xf numFmtId="189" fontId="2" fillId="0" borderId="15" xfId="35" applyNumberFormat="1" applyFont="1" applyFill="1" applyBorder="1" applyAlignment="1">
      <alignment horizontal="center" vertical="center"/>
    </xf>
    <xf numFmtId="41" fontId="20" fillId="0" borderId="15" xfId="0" applyNumberFormat="1" applyFont="1" applyFill="1" applyBorder="1" applyAlignment="1">
      <alignment horizontal="center" vertical="center" wrapText="1"/>
    </xf>
    <xf numFmtId="41" fontId="19" fillId="0" borderId="20" xfId="0" applyNumberFormat="1" applyFont="1" applyFill="1" applyBorder="1" applyAlignment="1">
      <alignment horizontal="center" vertical="center"/>
    </xf>
    <xf numFmtId="185" fontId="19" fillId="0" borderId="20" xfId="0" applyNumberFormat="1" applyFont="1" applyFill="1" applyBorder="1" applyAlignment="1">
      <alignment horizontal="right" vertical="center"/>
    </xf>
    <xf numFmtId="41" fontId="19" fillId="0" borderId="20" xfId="0" applyNumberFormat="1" applyFont="1" applyFill="1" applyBorder="1" applyAlignment="1">
      <alignment horizontal="right" vertical="center"/>
    </xf>
    <xf numFmtId="189" fontId="19" fillId="0" borderId="20" xfId="35" applyNumberFormat="1" applyFont="1" applyFill="1" applyBorder="1" applyAlignment="1">
      <alignment horizontal="right" vertical="center"/>
    </xf>
    <xf numFmtId="185" fontId="19" fillId="0" borderId="21" xfId="0" applyNumberFormat="1" applyFont="1" applyFill="1" applyBorder="1" applyAlignment="1">
      <alignment horizontal="right" vertical="center"/>
    </xf>
    <xf numFmtId="185" fontId="19" fillId="0" borderId="2" xfId="0" applyNumberFormat="1" applyFont="1" applyFill="1" applyBorder="1" applyAlignment="1">
      <alignment horizontal="right" vertical="center"/>
    </xf>
    <xf numFmtId="185" fontId="19" fillId="0" borderId="23" xfId="0" applyNumberFormat="1" applyFont="1" applyFill="1" applyBorder="1" applyAlignment="1">
      <alignment horizontal="right" vertical="center"/>
    </xf>
    <xf numFmtId="41" fontId="19" fillId="0" borderId="15" xfId="0" applyNumberFormat="1" applyFont="1" applyFill="1" applyBorder="1" applyAlignment="1">
      <alignment horizontal="center" vertical="center" wrapText="1"/>
    </xf>
    <xf numFmtId="41" fontId="20" fillId="0" borderId="19" xfId="0" applyNumberFormat="1" applyFont="1" applyBorder="1" applyAlignment="1">
      <alignment horizontal="center" vertical="center" wrapText="1"/>
    </xf>
    <xf numFmtId="41" fontId="20" fillId="0" borderId="15" xfId="0" applyNumberFormat="1" applyFont="1" applyBorder="1" applyAlignment="1">
      <alignment horizontal="center" vertical="center" wrapText="1"/>
    </xf>
    <xf numFmtId="41" fontId="1" fillId="0" borderId="20" xfId="0" applyNumberFormat="1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2" xfId="0" applyNumberFormat="1" applyFont="1" applyFill="1" applyBorder="1" applyAlignment="1">
      <alignment horizontal="right" vertical="center"/>
    </xf>
    <xf numFmtId="41" fontId="1" fillId="0" borderId="23" xfId="0" applyNumberFormat="1" applyFont="1" applyFill="1" applyBorder="1" applyAlignment="1">
      <alignment horizontal="right" vertical="center"/>
    </xf>
    <xf numFmtId="41" fontId="6" fillId="0" borderId="2" xfId="0" applyNumberFormat="1" applyFont="1" applyBorder="1" applyAlignment="1">
      <alignment horizontal="center" vertical="center" wrapText="1"/>
    </xf>
    <xf numFmtId="41" fontId="3" fillId="33" borderId="20" xfId="0" applyNumberFormat="1" applyFont="1" applyFill="1" applyBorder="1" applyAlignment="1">
      <alignment horizontal="center" vertical="center"/>
    </xf>
    <xf numFmtId="41" fontId="3" fillId="33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1" fontId="20" fillId="0" borderId="22" xfId="0" applyNumberFormat="1" applyFont="1" applyFill="1" applyBorder="1" applyAlignment="1">
      <alignment horizontal="center" vertical="center" wrapText="1"/>
    </xf>
    <xf numFmtId="41" fontId="20" fillId="0" borderId="24" xfId="0" applyNumberFormat="1" applyFont="1" applyFill="1" applyBorder="1" applyAlignment="1">
      <alignment horizontal="center" vertical="center" wrapText="1"/>
    </xf>
    <xf numFmtId="41" fontId="20" fillId="0" borderId="25" xfId="0" applyNumberFormat="1" applyFont="1" applyFill="1" applyBorder="1" applyAlignment="1">
      <alignment horizontal="center" vertical="center" wrapText="1"/>
    </xf>
    <xf numFmtId="38" fontId="2" fillId="0" borderId="21" xfId="0" applyNumberFormat="1" applyFont="1" applyBorder="1" applyAlignment="1">
      <alignment horizontal="center" vertical="center" wrapText="1"/>
    </xf>
    <xf numFmtId="38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41" fontId="6" fillId="0" borderId="22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24" xfId="0" applyNumberFormat="1" applyFont="1" applyFill="1" applyBorder="1" applyAlignment="1">
      <alignment horizontal="center" vertical="center" wrapText="1"/>
    </xf>
    <xf numFmtId="41" fontId="6" fillId="0" borderId="23" xfId="35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189" fontId="3" fillId="0" borderId="26" xfId="35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1" fontId="6" fillId="0" borderId="26" xfId="0" applyNumberFormat="1" applyFont="1" applyFill="1" applyBorder="1" applyAlignment="1">
      <alignment horizontal="center" vertical="center"/>
    </xf>
    <xf numFmtId="41" fontId="1" fillId="0" borderId="19" xfId="0" applyNumberFormat="1" applyFont="1" applyFill="1" applyBorder="1" applyAlignment="1">
      <alignment horizontal="center" vertical="center"/>
    </xf>
    <xf numFmtId="41" fontId="1" fillId="0" borderId="20" xfId="0" applyNumberFormat="1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41" fontId="19" fillId="0" borderId="24" xfId="0" applyNumberFormat="1" applyFont="1" applyFill="1" applyBorder="1" applyAlignment="1">
      <alignment horizontal="center" vertical="center" wrapText="1"/>
    </xf>
    <xf numFmtId="41" fontId="19" fillId="0" borderId="2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 quotePrefix="1">
      <alignment horizontal="center" vertical="center" wrapText="1"/>
    </xf>
    <xf numFmtId="189" fontId="2" fillId="0" borderId="26" xfId="35" applyNumberFormat="1" applyFont="1" applyFill="1" applyBorder="1" applyAlignment="1">
      <alignment horizontal="center" vertical="center"/>
    </xf>
    <xf numFmtId="41" fontId="19" fillId="0" borderId="22" xfId="0" applyNumberFormat="1" applyFont="1" applyFill="1" applyBorder="1" applyAlignment="1">
      <alignment horizontal="center" vertical="center" wrapText="1"/>
    </xf>
    <xf numFmtId="41" fontId="1" fillId="0" borderId="20" xfId="0" applyNumberFormat="1" applyFont="1" applyFill="1" applyBorder="1" applyAlignment="1">
      <alignment horizontal="right" vertical="center"/>
    </xf>
    <xf numFmtId="41" fontId="1" fillId="0" borderId="21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1" fontId="19" fillId="0" borderId="19" xfId="0" applyNumberFormat="1" applyFont="1" applyBorder="1" applyAlignment="1">
      <alignment horizontal="center" vertical="center" wrapText="1"/>
    </xf>
    <xf numFmtId="41" fontId="6" fillId="0" borderId="24" xfId="0" applyNumberFormat="1" applyFont="1" applyFill="1" applyBorder="1" applyAlignment="1">
      <alignment horizontal="center" vertical="center"/>
    </xf>
    <xf numFmtId="41" fontId="6" fillId="0" borderId="25" xfId="0" applyNumberFormat="1" applyFont="1" applyFill="1" applyBorder="1" applyAlignment="1">
      <alignment horizontal="center" vertical="center"/>
    </xf>
    <xf numFmtId="41" fontId="6" fillId="0" borderId="19" xfId="0" applyNumberFormat="1" applyFont="1" applyBorder="1" applyAlignment="1" quotePrefix="1">
      <alignment horizontal="center" vertical="center"/>
    </xf>
    <xf numFmtId="41" fontId="6" fillId="0" borderId="15" xfId="0" applyNumberFormat="1" applyFont="1" applyBorder="1" applyAlignment="1" quotePrefix="1">
      <alignment horizontal="center" vertical="center"/>
    </xf>
    <xf numFmtId="41" fontId="20" fillId="0" borderId="2" xfId="0" applyNumberFormat="1" applyFont="1" applyBorder="1" applyAlignment="1">
      <alignment horizontal="center" vertical="center"/>
    </xf>
    <xf numFmtId="41" fontId="1" fillId="0" borderId="22" xfId="0" applyNumberFormat="1" applyFont="1" applyFill="1" applyBorder="1" applyAlignment="1">
      <alignment horizontal="center" vertical="center" wrapText="1"/>
    </xf>
    <xf numFmtId="41" fontId="1" fillId="0" borderId="21" xfId="0" applyNumberFormat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20" xfId="0" applyNumberFormat="1" applyFont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 wrapText="1"/>
    </xf>
    <xf numFmtId="41" fontId="3" fillId="0" borderId="24" xfId="0" applyNumberFormat="1" applyFont="1" applyBorder="1" applyAlignment="1">
      <alignment horizontal="center" vertical="center" wrapText="1"/>
    </xf>
    <xf numFmtId="41" fontId="3" fillId="0" borderId="24" xfId="0" applyNumberFormat="1" applyFont="1" applyFill="1" applyBorder="1" applyAlignment="1">
      <alignment horizontal="center" vertical="center" wrapText="1"/>
    </xf>
    <xf numFmtId="41" fontId="3" fillId="0" borderId="24" xfId="0" applyNumberFormat="1" applyFont="1" applyFill="1" applyBorder="1" applyAlignment="1">
      <alignment horizontal="center" vertical="center"/>
    </xf>
    <xf numFmtId="41" fontId="3" fillId="0" borderId="25" xfId="0" applyNumberFormat="1" applyFont="1" applyFill="1" applyBorder="1" applyAlignment="1">
      <alignment horizontal="center" vertical="center" wrapText="1"/>
    </xf>
    <xf numFmtId="41" fontId="20" fillId="0" borderId="25" xfId="0" applyNumberFormat="1" applyFont="1" applyBorder="1" applyAlignment="1">
      <alignment horizontal="center" vertical="center" wrapText="1"/>
    </xf>
    <xf numFmtId="41" fontId="19" fillId="0" borderId="15" xfId="0" applyNumberFormat="1" applyFont="1" applyBorder="1" applyAlignment="1">
      <alignment horizontal="center" vertical="center" wrapText="1"/>
    </xf>
    <xf numFmtId="41" fontId="19" fillId="0" borderId="26" xfId="0" applyNumberFormat="1" applyFont="1" applyFill="1" applyBorder="1" applyAlignment="1">
      <alignment horizontal="center" vertical="center" wrapText="1"/>
    </xf>
    <xf numFmtId="41" fontId="2" fillId="0" borderId="26" xfId="0" applyNumberFormat="1" applyFont="1" applyFill="1" applyBorder="1" applyAlignment="1">
      <alignment horizontal="center" vertical="center"/>
    </xf>
    <xf numFmtId="41" fontId="19" fillId="0" borderId="19" xfId="0" applyNumberFormat="1" applyFont="1" applyFill="1" applyBorder="1" applyAlignment="1">
      <alignment horizontal="center" vertical="center"/>
    </xf>
    <xf numFmtId="41" fontId="19" fillId="0" borderId="26" xfId="0" applyNumberFormat="1" applyFont="1" applyFill="1" applyBorder="1" applyAlignment="1">
      <alignment horizontal="center" vertical="center"/>
    </xf>
    <xf numFmtId="41" fontId="3" fillId="33" borderId="23" xfId="0" applyNumberFormat="1" applyFont="1" applyFill="1" applyBorder="1" applyAlignment="1">
      <alignment horizontal="center" vertical="center"/>
    </xf>
    <xf numFmtId="38" fontId="1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18" fillId="0" borderId="0" xfId="0" applyNumberFormat="1" applyFont="1" applyAlignment="1">
      <alignment horizontal="center" vertical="center"/>
    </xf>
    <xf numFmtId="38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8" fontId="2" fillId="0" borderId="22" xfId="0" applyNumberFormat="1" applyFont="1" applyBorder="1" applyAlignment="1">
      <alignment horizontal="center" vertical="center" wrapText="1"/>
    </xf>
    <xf numFmtId="38" fontId="3" fillId="0" borderId="24" xfId="0" applyNumberFormat="1" applyFont="1" applyBorder="1" applyAlignment="1">
      <alignment horizontal="center" vertical="center" wrapText="1"/>
    </xf>
    <xf numFmtId="38" fontId="3" fillId="0" borderId="24" xfId="0" applyNumberFormat="1" applyFont="1" applyBorder="1" applyAlignment="1" quotePrefix="1">
      <alignment horizontal="center" vertical="center" wrapText="1"/>
    </xf>
    <xf numFmtId="38" fontId="1" fillId="0" borderId="0" xfId="0" applyNumberFormat="1" applyFont="1" applyBorder="1" applyAlignment="1">
      <alignment horizontal="left" vertical="center"/>
    </xf>
    <xf numFmtId="38" fontId="6" fillId="0" borderId="0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8" fontId="6" fillId="0" borderId="0" xfId="0" applyNumberFormat="1" applyFont="1" applyBorder="1" applyAlignment="1" quotePrefix="1">
      <alignment horizontal="left" vertical="center"/>
    </xf>
    <xf numFmtId="38" fontId="6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6" fillId="0" borderId="16" xfId="0" applyNumberFormat="1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1" fontId="1" fillId="0" borderId="21" xfId="0" applyNumberFormat="1" applyFont="1" applyBorder="1" applyAlignment="1" quotePrefix="1">
      <alignment horizontal="center" vertical="center" wrapText="1"/>
    </xf>
    <xf numFmtId="0" fontId="6" fillId="0" borderId="2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38" fontId="1" fillId="0" borderId="0" xfId="0" applyNumberFormat="1" applyFont="1" applyBorder="1" applyAlignment="1" quotePrefix="1">
      <alignment horizontal="left" vertical="center"/>
    </xf>
    <xf numFmtId="0" fontId="3" fillId="0" borderId="24" xfId="0" applyFont="1" applyBorder="1" applyAlignment="1">
      <alignment/>
    </xf>
    <xf numFmtId="38" fontId="2" fillId="0" borderId="22" xfId="0" applyNumberFormat="1" applyFont="1" applyBorder="1" applyAlignment="1" quotePrefix="1">
      <alignment horizontal="center" vertical="center" wrapText="1"/>
    </xf>
    <xf numFmtId="0" fontId="26" fillId="0" borderId="0" xfId="0" applyFont="1" applyAlignment="1">
      <alignment horizontal="left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1" fontId="20" fillId="0" borderId="14" xfId="0" applyNumberFormat="1" applyFont="1" applyBorder="1" applyAlignment="1">
      <alignment horizontal="center" vertical="center"/>
    </xf>
    <xf numFmtId="41" fontId="20" fillId="0" borderId="16" xfId="0" applyNumberFormat="1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1" fontId="3" fillId="0" borderId="2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41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1" fontId="1" fillId="0" borderId="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/>
    </xf>
    <xf numFmtId="41" fontId="20" fillId="0" borderId="16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right" vertical="center"/>
    </xf>
    <xf numFmtId="41" fontId="19" fillId="0" borderId="22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41" fontId="19" fillId="0" borderId="19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41" fontId="19" fillId="0" borderId="21" xfId="0" applyNumberFormat="1" applyFont="1" applyBorder="1" applyAlignment="1" quotePrefix="1">
      <alignment horizontal="center" vertical="center" wrapText="1"/>
    </xf>
    <xf numFmtId="0" fontId="20" fillId="0" borderId="2" xfId="0" applyFont="1" applyBorder="1" applyAlignment="1">
      <alignment vertical="center"/>
    </xf>
    <xf numFmtId="41" fontId="1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 quotePrefix="1">
      <alignment vertical="center"/>
    </xf>
    <xf numFmtId="41" fontId="1" fillId="0" borderId="0" xfId="0" applyNumberFormat="1" applyFont="1" applyBorder="1" applyAlignment="1">
      <alignment horizontal="left" vertical="center" wrapText="1"/>
    </xf>
    <xf numFmtId="41" fontId="6" fillId="0" borderId="0" xfId="0" applyNumberFormat="1" applyFont="1" applyBorder="1" applyAlignment="1">
      <alignment horizontal="left" vertical="center" wrapText="1"/>
    </xf>
    <xf numFmtId="41" fontId="20" fillId="0" borderId="14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  <xf numFmtId="41" fontId="22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41" fontId="23" fillId="0" borderId="0" xfId="0" applyNumberFormat="1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1" fontId="2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2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1" fillId="0" borderId="0" xfId="0" applyNumberFormat="1" applyFont="1" applyBorder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41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1" fontId="16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41" fontId="15" fillId="0" borderId="0" xfId="0" applyNumberFormat="1" applyFont="1" applyFill="1" applyAlignment="1">
      <alignment horizontal="center" vertical="center"/>
    </xf>
    <xf numFmtId="41" fontId="18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/>
    </xf>
    <xf numFmtId="4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41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center" vertical="center" wrapText="1"/>
    </xf>
    <xf numFmtId="41" fontId="2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41" fontId="3" fillId="0" borderId="19" xfId="0" applyNumberFormat="1" applyFont="1" applyBorder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1" fontId="2" fillId="0" borderId="15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4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1" fontId="2" fillId="0" borderId="15" xfId="0" applyNumberFormat="1" applyFont="1" applyBorder="1" applyAlignment="1">
      <alignment horizontal="center" vertical="center" wrapText="1"/>
    </xf>
    <xf numFmtId="41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9" fillId="0" borderId="20" xfId="0" applyFont="1" applyBorder="1" applyAlignment="1">
      <alignment horizontal="center" vertical="center" wrapText="1"/>
    </xf>
    <xf numFmtId="41" fontId="2" fillId="0" borderId="19" xfId="0" applyNumberFormat="1" applyFont="1" applyBorder="1" applyAlignment="1">
      <alignment horizontal="center" vertical="center" wrapText="1"/>
    </xf>
    <xf numFmtId="41" fontId="16" fillId="0" borderId="0" xfId="0" applyNumberFormat="1" applyFont="1" applyBorder="1" applyAlignment="1">
      <alignment horizontal="center"/>
    </xf>
    <xf numFmtId="41" fontId="2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_6-8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年資料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0"/>
  <sheetViews>
    <sheetView zoomScalePageLayoutView="0" workbookViewId="0" topLeftCell="A1">
      <pane xSplit="1" ySplit="7" topLeftCell="B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5" sqref="B45"/>
    </sheetView>
  </sheetViews>
  <sheetFormatPr defaultColWidth="9.00390625" defaultRowHeight="16.5"/>
  <cols>
    <col min="1" max="1" width="12.625" style="30" customWidth="1"/>
    <col min="2" max="3" width="11.25390625" style="30" customWidth="1"/>
    <col min="4" max="4" width="10.125" style="30" customWidth="1"/>
    <col min="5" max="5" width="11.75390625" style="30" customWidth="1"/>
    <col min="6" max="6" width="12.00390625" style="30" customWidth="1"/>
    <col min="7" max="8" width="11.25390625" style="30" customWidth="1"/>
    <col min="9" max="9" width="10.125" style="30" customWidth="1"/>
    <col min="10" max="10" width="11.125" style="30" customWidth="1"/>
    <col min="11" max="11" width="10.75390625" style="30" customWidth="1"/>
    <col min="12" max="12" width="12.25390625" style="30" customWidth="1"/>
    <col min="13" max="13" width="10.00390625" style="30" customWidth="1"/>
    <col min="14" max="15" width="9.25390625" style="30" customWidth="1"/>
    <col min="16" max="17" width="10.75390625" style="30" customWidth="1"/>
  </cols>
  <sheetData>
    <row r="1" spans="2:17" s="114" customFormat="1" ht="14.25">
      <c r="B1" s="77"/>
      <c r="C1" s="77"/>
      <c r="D1" s="77"/>
      <c r="E1" s="77"/>
      <c r="F1" s="77"/>
      <c r="G1" s="77"/>
      <c r="H1" s="163" t="s">
        <v>304</v>
      </c>
      <c r="I1" s="115" t="s">
        <v>303</v>
      </c>
      <c r="J1" s="77"/>
      <c r="K1" s="77"/>
      <c r="L1" s="77"/>
      <c r="M1" s="77"/>
      <c r="N1" s="77"/>
      <c r="O1" s="77"/>
      <c r="P1" s="77"/>
      <c r="Q1" s="115"/>
    </row>
    <row r="2" spans="1:17" ht="27.75">
      <c r="A2" s="294" t="s">
        <v>106</v>
      </c>
      <c r="B2" s="295"/>
      <c r="C2" s="295"/>
      <c r="D2" s="295"/>
      <c r="E2" s="295"/>
      <c r="F2" s="295"/>
      <c r="G2" s="295"/>
      <c r="H2" s="295"/>
      <c r="I2" s="297" t="s">
        <v>99</v>
      </c>
      <c r="J2" s="298"/>
      <c r="K2" s="298"/>
      <c r="L2" s="298"/>
      <c r="M2" s="298"/>
      <c r="N2" s="298"/>
      <c r="O2" s="298"/>
      <c r="P2" s="298"/>
      <c r="Q2" s="298"/>
    </row>
    <row r="3" spans="1:17" ht="19.5" customHeight="1">
      <c r="A3" s="296" t="s">
        <v>107</v>
      </c>
      <c r="B3" s="295"/>
      <c r="C3" s="295"/>
      <c r="D3" s="295"/>
      <c r="E3" s="295"/>
      <c r="F3" s="295"/>
      <c r="G3" s="295"/>
      <c r="H3" s="295"/>
      <c r="I3" s="299" t="s">
        <v>13</v>
      </c>
      <c r="J3" s="300"/>
      <c r="K3" s="300"/>
      <c r="L3" s="300"/>
      <c r="M3" s="300"/>
      <c r="N3" s="300"/>
      <c r="O3" s="300"/>
      <c r="P3" s="300"/>
      <c r="Q3" s="300"/>
    </row>
    <row r="4" spans="1:17" ht="15" customHeight="1">
      <c r="A4" s="304" t="s">
        <v>7</v>
      </c>
      <c r="B4" s="305"/>
      <c r="C4" s="305"/>
      <c r="D4" s="67"/>
      <c r="E4" s="67"/>
      <c r="F4" s="67"/>
      <c r="I4" s="68" t="s">
        <v>2</v>
      </c>
      <c r="J4" s="67"/>
      <c r="K4" s="67"/>
      <c r="L4" s="67"/>
      <c r="M4" s="67"/>
      <c r="N4" s="67"/>
      <c r="O4" s="67"/>
      <c r="P4" s="317" t="s">
        <v>108</v>
      </c>
      <c r="Q4" s="317"/>
    </row>
    <row r="5" spans="1:17" s="30" customFormat="1" ht="18.75" customHeight="1">
      <c r="A5" s="313" t="s">
        <v>194</v>
      </c>
      <c r="B5" s="315" t="s">
        <v>195</v>
      </c>
      <c r="C5" s="309" t="s">
        <v>196</v>
      </c>
      <c r="D5" s="310"/>
      <c r="E5" s="310"/>
      <c r="F5" s="310"/>
      <c r="G5" s="310"/>
      <c r="H5" s="310"/>
      <c r="I5" s="311" t="s">
        <v>8</v>
      </c>
      <c r="J5" s="310"/>
      <c r="K5" s="310"/>
      <c r="L5" s="310"/>
      <c r="M5" s="310"/>
      <c r="N5" s="310"/>
      <c r="O5" s="312"/>
      <c r="P5" s="301" t="s">
        <v>270</v>
      </c>
      <c r="Q5" s="301" t="s">
        <v>271</v>
      </c>
    </row>
    <row r="6" spans="1:17" s="30" customFormat="1" ht="21" customHeight="1">
      <c r="A6" s="314"/>
      <c r="B6" s="316"/>
      <c r="C6" s="306" t="s">
        <v>272</v>
      </c>
      <c r="D6" s="306" t="s">
        <v>273</v>
      </c>
      <c r="E6" s="306" t="s">
        <v>274</v>
      </c>
      <c r="F6" s="306" t="s">
        <v>275</v>
      </c>
      <c r="G6" s="306" t="s">
        <v>276</v>
      </c>
      <c r="H6" s="306" t="s">
        <v>277</v>
      </c>
      <c r="I6" s="154" t="s">
        <v>278</v>
      </c>
      <c r="J6" s="155" t="s">
        <v>279</v>
      </c>
      <c r="K6" s="301" t="s">
        <v>281</v>
      </c>
      <c r="L6" s="301" t="s">
        <v>280</v>
      </c>
      <c r="M6" s="301" t="s">
        <v>282</v>
      </c>
      <c r="N6" s="320" t="s">
        <v>268</v>
      </c>
      <c r="O6" s="301" t="s">
        <v>269</v>
      </c>
      <c r="P6" s="302"/>
      <c r="Q6" s="302"/>
    </row>
    <row r="7" spans="1:17" s="30" customFormat="1" ht="40.5" customHeight="1">
      <c r="A7" s="235" t="s">
        <v>14</v>
      </c>
      <c r="B7" s="316"/>
      <c r="C7" s="307"/>
      <c r="D7" s="307"/>
      <c r="E7" s="319"/>
      <c r="F7" s="307"/>
      <c r="G7" s="307"/>
      <c r="H7" s="307"/>
      <c r="I7" s="245" t="s">
        <v>266</v>
      </c>
      <c r="J7" s="245" t="s">
        <v>243</v>
      </c>
      <c r="K7" s="303"/>
      <c r="L7" s="303"/>
      <c r="M7" s="303"/>
      <c r="N7" s="303"/>
      <c r="O7" s="302"/>
      <c r="P7" s="302"/>
      <c r="Q7" s="302"/>
    </row>
    <row r="8" spans="1:17" ht="26.25" customHeight="1">
      <c r="A8" s="248" t="s">
        <v>110</v>
      </c>
      <c r="B8" s="173">
        <f>SUM(D8:Q8)</f>
        <v>115121</v>
      </c>
      <c r="C8" s="174">
        <f>SUM(D8:O8)</f>
        <v>112223</v>
      </c>
      <c r="D8" s="175">
        <v>57503</v>
      </c>
      <c r="E8" s="175">
        <v>0</v>
      </c>
      <c r="F8" s="175">
        <v>0</v>
      </c>
      <c r="G8" s="175">
        <v>421</v>
      </c>
      <c r="H8" s="175">
        <v>0</v>
      </c>
      <c r="I8" s="272">
        <v>157</v>
      </c>
      <c r="J8" s="175">
        <v>0</v>
      </c>
      <c r="K8" s="175">
        <v>0</v>
      </c>
      <c r="L8" s="175">
        <v>53747</v>
      </c>
      <c r="M8" s="175">
        <v>0</v>
      </c>
      <c r="N8" s="175">
        <v>395</v>
      </c>
      <c r="O8" s="175">
        <v>0</v>
      </c>
      <c r="P8" s="175">
        <v>2898</v>
      </c>
      <c r="Q8" s="176">
        <v>0</v>
      </c>
    </row>
    <row r="9" spans="1:17" ht="26.25" customHeight="1">
      <c r="A9" s="249" t="s">
        <v>111</v>
      </c>
      <c r="B9" s="177">
        <f>SUM(D9:Q9)</f>
        <v>136806</v>
      </c>
      <c r="C9" s="69">
        <f>SUM(D9:O9)</f>
        <v>133240</v>
      </c>
      <c r="D9" s="70">
        <v>78310</v>
      </c>
      <c r="E9" s="70">
        <v>0</v>
      </c>
      <c r="F9" s="70">
        <v>241</v>
      </c>
      <c r="G9" s="70">
        <v>432</v>
      </c>
      <c r="H9" s="70">
        <v>0</v>
      </c>
      <c r="I9" s="273">
        <v>172</v>
      </c>
      <c r="J9" s="70">
        <v>0</v>
      </c>
      <c r="K9" s="70">
        <v>0</v>
      </c>
      <c r="L9" s="70">
        <v>53744</v>
      </c>
      <c r="M9" s="70">
        <v>0</v>
      </c>
      <c r="N9" s="70">
        <v>341</v>
      </c>
      <c r="O9" s="70">
        <v>0</v>
      </c>
      <c r="P9" s="70">
        <v>3566</v>
      </c>
      <c r="Q9" s="178">
        <v>0</v>
      </c>
    </row>
    <row r="10" spans="1:17" ht="26.25" customHeight="1">
      <c r="A10" s="249" t="s">
        <v>112</v>
      </c>
      <c r="B10" s="177">
        <f>SUM(D10:Q10)</f>
        <v>144626</v>
      </c>
      <c r="C10" s="69">
        <f>SUM(D10:O10)</f>
        <v>118949</v>
      </c>
      <c r="D10" s="70">
        <v>79658</v>
      </c>
      <c r="E10" s="70">
        <v>0</v>
      </c>
      <c r="F10" s="70">
        <v>164</v>
      </c>
      <c r="G10" s="70">
        <v>465</v>
      </c>
      <c r="H10" s="70">
        <v>0</v>
      </c>
      <c r="I10" s="273">
        <v>185</v>
      </c>
      <c r="J10" s="70">
        <v>0</v>
      </c>
      <c r="K10" s="70">
        <v>0</v>
      </c>
      <c r="L10" s="70">
        <v>37845</v>
      </c>
      <c r="M10" s="70">
        <v>0</v>
      </c>
      <c r="N10" s="70">
        <v>632</v>
      </c>
      <c r="O10" s="70">
        <v>0</v>
      </c>
      <c r="P10" s="70">
        <v>25677</v>
      </c>
      <c r="Q10" s="178">
        <v>0</v>
      </c>
    </row>
    <row r="11" spans="1:17" ht="26.25" customHeight="1">
      <c r="A11" s="249" t="s">
        <v>113</v>
      </c>
      <c r="B11" s="177">
        <f>SUM(D11:Q11)</f>
        <v>138597</v>
      </c>
      <c r="C11" s="69">
        <f>SUM(D11:O11)</f>
        <v>124121</v>
      </c>
      <c r="D11" s="69">
        <v>72429</v>
      </c>
      <c r="E11" s="69">
        <v>0</v>
      </c>
      <c r="F11" s="69">
        <v>277</v>
      </c>
      <c r="G11" s="69">
        <v>410</v>
      </c>
      <c r="H11" s="69">
        <v>0</v>
      </c>
      <c r="I11" s="177">
        <v>368</v>
      </c>
      <c r="J11" s="69">
        <v>0</v>
      </c>
      <c r="K11" s="69">
        <v>0</v>
      </c>
      <c r="L11" s="69">
        <v>49774</v>
      </c>
      <c r="M11" s="69">
        <v>0</v>
      </c>
      <c r="N11" s="69">
        <v>863</v>
      </c>
      <c r="O11" s="69">
        <v>0</v>
      </c>
      <c r="P11" s="69">
        <v>14476</v>
      </c>
      <c r="Q11" s="179">
        <v>0</v>
      </c>
    </row>
    <row r="12" spans="1:17" s="46" customFormat="1" ht="26.25" customHeight="1">
      <c r="A12" s="250" t="s">
        <v>114</v>
      </c>
      <c r="B12" s="180">
        <v>152788</v>
      </c>
      <c r="C12" s="71">
        <f>SUM(D12:O12)</f>
        <v>148388</v>
      </c>
      <c r="D12" s="71">
        <v>91293</v>
      </c>
      <c r="E12" s="71">
        <v>0</v>
      </c>
      <c r="F12" s="71">
        <v>262</v>
      </c>
      <c r="G12" s="71">
        <v>416</v>
      </c>
      <c r="H12" s="71">
        <f>SUM(H19:H30)</f>
        <v>0</v>
      </c>
      <c r="I12" s="180">
        <v>516</v>
      </c>
      <c r="J12" s="71">
        <v>0</v>
      </c>
      <c r="K12" s="71">
        <f>SUM(K19:K30)</f>
        <v>0</v>
      </c>
      <c r="L12" s="71">
        <v>54876</v>
      </c>
      <c r="M12" s="71">
        <v>4</v>
      </c>
      <c r="N12" s="71">
        <v>1021</v>
      </c>
      <c r="O12" s="71">
        <f>SUM(O19:O30)</f>
        <v>0</v>
      </c>
      <c r="P12" s="71">
        <v>4361</v>
      </c>
      <c r="Q12" s="181">
        <v>39</v>
      </c>
    </row>
    <row r="13" spans="1:17" s="46" customFormat="1" ht="26.25" customHeight="1">
      <c r="A13" s="250" t="s">
        <v>115</v>
      </c>
      <c r="B13" s="180">
        <v>200816</v>
      </c>
      <c r="C13" s="71">
        <v>122098</v>
      </c>
      <c r="D13" s="71">
        <v>86487</v>
      </c>
      <c r="E13" s="71">
        <f>SUM(E16:E29)</f>
        <v>0</v>
      </c>
      <c r="F13" s="71">
        <v>67</v>
      </c>
      <c r="G13" s="71">
        <v>610</v>
      </c>
      <c r="H13" s="71">
        <f>SUM(H16:H29)</f>
        <v>0</v>
      </c>
      <c r="I13" s="180">
        <v>453</v>
      </c>
      <c r="J13" s="71">
        <v>0</v>
      </c>
      <c r="K13" s="71">
        <f>SUM(K16:K29)</f>
        <v>0</v>
      </c>
      <c r="L13" s="71">
        <v>34077</v>
      </c>
      <c r="M13" s="71">
        <v>21</v>
      </c>
      <c r="N13" s="71">
        <v>383</v>
      </c>
      <c r="O13" s="71">
        <f>SUM(O16:O29)</f>
        <v>0</v>
      </c>
      <c r="P13" s="71">
        <v>78640</v>
      </c>
      <c r="Q13" s="181">
        <v>78</v>
      </c>
    </row>
    <row r="14" spans="1:17" s="46" customFormat="1" ht="26.25" customHeight="1">
      <c r="A14" s="250" t="s">
        <v>164</v>
      </c>
      <c r="B14" s="180">
        <v>200601</v>
      </c>
      <c r="C14" s="71">
        <v>348175</v>
      </c>
      <c r="D14" s="71">
        <v>67347</v>
      </c>
      <c r="E14" s="71">
        <f>SUM(E16:E29)</f>
        <v>0</v>
      </c>
      <c r="F14" s="71">
        <v>143</v>
      </c>
      <c r="G14" s="71">
        <v>786</v>
      </c>
      <c r="H14" s="71">
        <f>SUM(H16:H29)</f>
        <v>0</v>
      </c>
      <c r="I14" s="180">
        <v>284</v>
      </c>
      <c r="J14" s="71">
        <v>0</v>
      </c>
      <c r="K14" s="71">
        <f>SUM(K16:K29)</f>
        <v>0</v>
      </c>
      <c r="L14" s="71">
        <v>42997</v>
      </c>
      <c r="M14" s="71">
        <v>10000</v>
      </c>
      <c r="N14" s="71">
        <v>390</v>
      </c>
      <c r="O14" s="71">
        <f>SUM(O16:O29)</f>
        <v>0</v>
      </c>
      <c r="P14" s="71">
        <v>78640</v>
      </c>
      <c r="Q14" s="181">
        <v>14</v>
      </c>
    </row>
    <row r="15" spans="1:17" s="46" customFormat="1" ht="26.25" customHeight="1">
      <c r="A15" s="250" t="s">
        <v>170</v>
      </c>
      <c r="B15" s="180">
        <v>125009</v>
      </c>
      <c r="C15" s="71">
        <v>125009</v>
      </c>
      <c r="D15" s="71">
        <v>75145</v>
      </c>
      <c r="E15" s="71">
        <v>0</v>
      </c>
      <c r="F15" s="71">
        <v>153</v>
      </c>
      <c r="G15" s="71">
        <v>918</v>
      </c>
      <c r="H15" s="71">
        <v>0</v>
      </c>
      <c r="I15" s="180">
        <v>158</v>
      </c>
      <c r="J15" s="71">
        <v>7772</v>
      </c>
      <c r="K15" s="71">
        <v>0</v>
      </c>
      <c r="L15" s="71">
        <v>39149</v>
      </c>
      <c r="M15" s="71">
        <v>0</v>
      </c>
      <c r="N15" s="71">
        <v>1714</v>
      </c>
      <c r="O15" s="71">
        <v>0</v>
      </c>
      <c r="P15" s="71">
        <v>0</v>
      </c>
      <c r="Q15" s="181">
        <v>0</v>
      </c>
    </row>
    <row r="16" spans="1:17" s="46" customFormat="1" ht="26.25" customHeight="1">
      <c r="A16" s="250" t="s">
        <v>265</v>
      </c>
      <c r="B16" s="180">
        <v>224290</v>
      </c>
      <c r="C16" s="71">
        <v>182705</v>
      </c>
      <c r="D16" s="71">
        <v>90293</v>
      </c>
      <c r="E16" s="71">
        <f>SUM(E19:E30)</f>
        <v>0</v>
      </c>
      <c r="F16" s="71">
        <v>95</v>
      </c>
      <c r="G16" s="71">
        <v>1205</v>
      </c>
      <c r="H16" s="71">
        <v>0</v>
      </c>
      <c r="I16" s="180">
        <v>743</v>
      </c>
      <c r="J16" s="71">
        <v>0</v>
      </c>
      <c r="K16" s="71">
        <f>SUM(K19:K30)</f>
        <v>0</v>
      </c>
      <c r="L16" s="71">
        <v>83224</v>
      </c>
      <c r="M16" s="71">
        <v>5000</v>
      </c>
      <c r="N16" s="71">
        <v>2145</v>
      </c>
      <c r="O16" s="71">
        <f>SUM(O19:O30)</f>
        <v>0</v>
      </c>
      <c r="P16" s="71">
        <v>41546</v>
      </c>
      <c r="Q16" s="181">
        <v>39</v>
      </c>
    </row>
    <row r="17" spans="1:17" s="46" customFormat="1" ht="26.25" customHeight="1">
      <c r="A17" s="250" t="s">
        <v>263</v>
      </c>
      <c r="B17" s="180">
        <v>154944</v>
      </c>
      <c r="C17" s="71">
        <v>145170</v>
      </c>
      <c r="D17" s="71">
        <v>92931</v>
      </c>
      <c r="E17" s="71">
        <v>0</v>
      </c>
      <c r="F17" s="71">
        <v>645</v>
      </c>
      <c r="G17" s="71">
        <v>704</v>
      </c>
      <c r="H17" s="71">
        <v>0</v>
      </c>
      <c r="I17" s="180">
        <v>244</v>
      </c>
      <c r="J17" s="71">
        <v>0</v>
      </c>
      <c r="K17" s="71">
        <v>0</v>
      </c>
      <c r="L17" s="71">
        <v>48055</v>
      </c>
      <c r="M17" s="71">
        <v>0</v>
      </c>
      <c r="N17" s="71">
        <v>2591</v>
      </c>
      <c r="O17" s="71">
        <v>0</v>
      </c>
      <c r="P17" s="71">
        <v>45188</v>
      </c>
      <c r="Q17" s="182">
        <v>0</v>
      </c>
    </row>
    <row r="18" spans="1:17" s="153" customFormat="1" ht="26.25" customHeight="1">
      <c r="A18" s="250" t="s">
        <v>264</v>
      </c>
      <c r="B18" s="180">
        <f>SUM(B19:B30)</f>
        <v>156099</v>
      </c>
      <c r="C18" s="71">
        <f>SUM(C19:C30)</f>
        <v>169352</v>
      </c>
      <c r="D18" s="71">
        <f>SUM(D19:D30)</f>
        <v>109175</v>
      </c>
      <c r="E18" s="71">
        <v>0</v>
      </c>
      <c r="F18" s="71">
        <f>SUM(F19:F30)</f>
        <v>259</v>
      </c>
      <c r="G18" s="71">
        <f>SUM(G19:G30)</f>
        <v>716</v>
      </c>
      <c r="H18" s="71">
        <f>SUM(H19:H30)</f>
        <v>0</v>
      </c>
      <c r="I18" s="180">
        <f>SUM(I19:I30)</f>
        <v>260</v>
      </c>
      <c r="J18" s="71">
        <v>0</v>
      </c>
      <c r="K18" s="71">
        <v>0</v>
      </c>
      <c r="L18" s="71">
        <f>SUM(L19:L30)</f>
        <v>58172</v>
      </c>
      <c r="M18" s="71">
        <v>0</v>
      </c>
      <c r="N18" s="71">
        <f>SUM(N19:N30)</f>
        <v>770</v>
      </c>
      <c r="O18" s="71">
        <v>0</v>
      </c>
      <c r="P18" s="71">
        <f>SUM(P19:P30)</f>
        <v>4326</v>
      </c>
      <c r="Q18" s="181">
        <f>SUM(Q19:Q30)</f>
        <v>-17579</v>
      </c>
    </row>
    <row r="19" spans="1:17" s="46" customFormat="1" ht="18.75" customHeight="1" hidden="1">
      <c r="A19" s="270" t="s">
        <v>116</v>
      </c>
      <c r="B19" s="180">
        <f aca="true" t="shared" si="0" ref="B19:B29">C19+P19+Q19</f>
        <v>10821</v>
      </c>
      <c r="C19" s="72">
        <f>SUM(D19:O19)</f>
        <v>9631</v>
      </c>
      <c r="D19" s="71">
        <v>8554</v>
      </c>
      <c r="E19" s="128">
        <v>0</v>
      </c>
      <c r="F19" s="129" t="s">
        <v>315</v>
      </c>
      <c r="G19" s="71">
        <v>16</v>
      </c>
      <c r="H19" s="128">
        <v>0</v>
      </c>
      <c r="I19" s="180">
        <v>21</v>
      </c>
      <c r="J19" s="72">
        <v>0</v>
      </c>
      <c r="K19" s="128">
        <v>0</v>
      </c>
      <c r="L19" s="128">
        <v>1012</v>
      </c>
      <c r="M19" s="128">
        <v>0</v>
      </c>
      <c r="N19" s="71">
        <v>28</v>
      </c>
      <c r="O19" s="128">
        <v>0</v>
      </c>
      <c r="P19" s="72">
        <v>0</v>
      </c>
      <c r="Q19" s="182">
        <v>1190</v>
      </c>
    </row>
    <row r="20" spans="1:17" s="46" customFormat="1" ht="18.75" customHeight="1" hidden="1">
      <c r="A20" s="270" t="s">
        <v>117</v>
      </c>
      <c r="B20" s="180">
        <f t="shared" si="0"/>
        <v>8294</v>
      </c>
      <c r="C20" s="72">
        <f aca="true" t="shared" si="1" ref="C20:C33">SUM(D20:O20)</f>
        <v>8297</v>
      </c>
      <c r="D20" s="71">
        <v>7763</v>
      </c>
      <c r="E20" s="128">
        <v>0</v>
      </c>
      <c r="F20" s="129" t="s">
        <v>257</v>
      </c>
      <c r="G20" s="71">
        <v>179</v>
      </c>
      <c r="H20" s="128">
        <v>0</v>
      </c>
      <c r="I20" s="180">
        <v>15</v>
      </c>
      <c r="J20" s="128">
        <v>0</v>
      </c>
      <c r="K20" s="128">
        <v>0</v>
      </c>
      <c r="L20" s="71">
        <v>335</v>
      </c>
      <c r="M20" s="128">
        <v>0</v>
      </c>
      <c r="N20" s="128">
        <v>5</v>
      </c>
      <c r="O20" s="128">
        <v>0</v>
      </c>
      <c r="P20" s="72">
        <v>230</v>
      </c>
      <c r="Q20" s="182">
        <v>-233</v>
      </c>
    </row>
    <row r="21" spans="1:17" s="46" customFormat="1" ht="18.75" customHeight="1" hidden="1">
      <c r="A21" s="270" t="s">
        <v>118</v>
      </c>
      <c r="B21" s="180">
        <f t="shared" si="0"/>
        <v>20048</v>
      </c>
      <c r="C21" s="72">
        <f t="shared" si="1"/>
        <v>19996</v>
      </c>
      <c r="D21" s="71">
        <v>8039</v>
      </c>
      <c r="E21" s="128">
        <v>0</v>
      </c>
      <c r="F21" s="71">
        <v>0</v>
      </c>
      <c r="G21" s="71">
        <v>30</v>
      </c>
      <c r="H21" s="128">
        <v>0</v>
      </c>
      <c r="I21" s="180">
        <v>18</v>
      </c>
      <c r="J21" s="128">
        <v>0</v>
      </c>
      <c r="K21" s="128">
        <v>0</v>
      </c>
      <c r="L21" s="128">
        <v>11895</v>
      </c>
      <c r="M21" s="128">
        <v>0</v>
      </c>
      <c r="N21" s="71">
        <v>14</v>
      </c>
      <c r="O21" s="128">
        <v>0</v>
      </c>
      <c r="P21" s="72">
        <v>0</v>
      </c>
      <c r="Q21" s="182">
        <v>52</v>
      </c>
    </row>
    <row r="22" spans="1:17" s="46" customFormat="1" ht="18.75" customHeight="1" hidden="1">
      <c r="A22" s="270" t="s">
        <v>119</v>
      </c>
      <c r="B22" s="180">
        <f t="shared" si="0"/>
        <v>7802</v>
      </c>
      <c r="C22" s="72">
        <f t="shared" si="1"/>
        <v>8277</v>
      </c>
      <c r="D22" s="71">
        <v>7996</v>
      </c>
      <c r="E22" s="128">
        <v>0</v>
      </c>
      <c r="F22" s="71">
        <v>0</v>
      </c>
      <c r="G22" s="71">
        <v>29</v>
      </c>
      <c r="H22" s="128">
        <v>0</v>
      </c>
      <c r="I22" s="180">
        <v>17</v>
      </c>
      <c r="J22" s="71">
        <v>0</v>
      </c>
      <c r="K22" s="128">
        <v>0</v>
      </c>
      <c r="L22" s="71">
        <v>224</v>
      </c>
      <c r="M22" s="128">
        <v>0</v>
      </c>
      <c r="N22" s="128">
        <v>11</v>
      </c>
      <c r="O22" s="128">
        <v>0</v>
      </c>
      <c r="P22" s="72">
        <v>0</v>
      </c>
      <c r="Q22" s="182">
        <v>-475</v>
      </c>
    </row>
    <row r="23" spans="1:17" s="46" customFormat="1" ht="18.75" customHeight="1" hidden="1">
      <c r="A23" s="270" t="s">
        <v>120</v>
      </c>
      <c r="B23" s="180">
        <f t="shared" si="0"/>
        <v>19625</v>
      </c>
      <c r="C23" s="72">
        <f t="shared" si="1"/>
        <v>10028</v>
      </c>
      <c r="D23" s="71">
        <v>7993</v>
      </c>
      <c r="E23" s="128">
        <v>0</v>
      </c>
      <c r="F23" s="71">
        <v>19</v>
      </c>
      <c r="G23" s="71">
        <v>37</v>
      </c>
      <c r="H23" s="128">
        <v>0</v>
      </c>
      <c r="I23" s="180">
        <v>18</v>
      </c>
      <c r="J23" s="71">
        <v>0</v>
      </c>
      <c r="K23" s="128">
        <v>0</v>
      </c>
      <c r="L23" s="71">
        <v>1956</v>
      </c>
      <c r="M23" s="128">
        <v>0</v>
      </c>
      <c r="N23" s="71">
        <v>5</v>
      </c>
      <c r="O23" s="128">
        <v>0</v>
      </c>
      <c r="P23" s="72">
        <v>0</v>
      </c>
      <c r="Q23" s="182">
        <v>9597</v>
      </c>
    </row>
    <row r="24" spans="1:17" s="46" customFormat="1" ht="18.75" customHeight="1" hidden="1">
      <c r="A24" s="270" t="s">
        <v>121</v>
      </c>
      <c r="B24" s="180">
        <f t="shared" si="0"/>
        <v>13793</v>
      </c>
      <c r="C24" s="72">
        <f t="shared" si="1"/>
        <v>14820</v>
      </c>
      <c r="D24" s="71">
        <v>8566</v>
      </c>
      <c r="E24" s="128">
        <v>0</v>
      </c>
      <c r="F24" s="71">
        <v>130</v>
      </c>
      <c r="G24" s="71">
        <v>37</v>
      </c>
      <c r="H24" s="128">
        <v>0</v>
      </c>
      <c r="I24" s="180">
        <v>33</v>
      </c>
      <c r="J24" s="128">
        <v>0</v>
      </c>
      <c r="K24" s="71">
        <v>0</v>
      </c>
      <c r="L24" s="71">
        <v>5413</v>
      </c>
      <c r="M24" s="128">
        <v>0</v>
      </c>
      <c r="N24" s="128">
        <v>641</v>
      </c>
      <c r="O24" s="128">
        <v>0</v>
      </c>
      <c r="P24" s="72">
        <v>0</v>
      </c>
      <c r="Q24" s="182">
        <v>-1027</v>
      </c>
    </row>
    <row r="25" spans="1:17" s="46" customFormat="1" ht="18.75" customHeight="1" hidden="1">
      <c r="A25" s="270" t="s">
        <v>122</v>
      </c>
      <c r="B25" s="180">
        <f t="shared" si="0"/>
        <v>5282</v>
      </c>
      <c r="C25" s="72">
        <f t="shared" si="1"/>
        <v>8638</v>
      </c>
      <c r="D25" s="71">
        <v>7919</v>
      </c>
      <c r="E25" s="128">
        <v>0</v>
      </c>
      <c r="F25" s="71">
        <v>0</v>
      </c>
      <c r="G25" s="71">
        <v>16</v>
      </c>
      <c r="H25" s="128">
        <v>0</v>
      </c>
      <c r="I25" s="180">
        <v>20</v>
      </c>
      <c r="J25" s="128">
        <v>0</v>
      </c>
      <c r="K25" s="128">
        <v>0</v>
      </c>
      <c r="L25" s="71">
        <v>676</v>
      </c>
      <c r="M25" s="128">
        <v>0</v>
      </c>
      <c r="N25" s="128">
        <v>7</v>
      </c>
      <c r="O25" s="128">
        <v>0</v>
      </c>
      <c r="P25" s="72">
        <v>0</v>
      </c>
      <c r="Q25" s="182">
        <v>-3356</v>
      </c>
    </row>
    <row r="26" spans="1:17" s="46" customFormat="1" ht="18.75" customHeight="1" hidden="1">
      <c r="A26" s="270" t="s">
        <v>123</v>
      </c>
      <c r="B26" s="180">
        <f t="shared" si="0"/>
        <v>22108</v>
      </c>
      <c r="C26" s="72">
        <f t="shared" si="1"/>
        <v>21719</v>
      </c>
      <c r="D26" s="71">
        <v>7933</v>
      </c>
      <c r="E26" s="128">
        <v>0</v>
      </c>
      <c r="F26" s="71">
        <v>8</v>
      </c>
      <c r="G26" s="71">
        <v>25</v>
      </c>
      <c r="H26" s="128">
        <v>0</v>
      </c>
      <c r="I26" s="180">
        <v>17</v>
      </c>
      <c r="J26" s="128">
        <v>0</v>
      </c>
      <c r="K26" s="128">
        <v>0</v>
      </c>
      <c r="L26" s="71">
        <v>13730</v>
      </c>
      <c r="M26" s="128">
        <v>0</v>
      </c>
      <c r="N26" s="71">
        <v>6</v>
      </c>
      <c r="O26" s="128">
        <v>0</v>
      </c>
      <c r="P26" s="72">
        <v>0</v>
      </c>
      <c r="Q26" s="182">
        <v>389</v>
      </c>
    </row>
    <row r="27" spans="1:17" s="46" customFormat="1" ht="18.75" customHeight="1" hidden="1">
      <c r="A27" s="270" t="s">
        <v>124</v>
      </c>
      <c r="B27" s="180">
        <f t="shared" si="0"/>
        <v>20970</v>
      </c>
      <c r="C27" s="72">
        <f t="shared" si="1"/>
        <v>13079</v>
      </c>
      <c r="D27" s="71">
        <v>8591</v>
      </c>
      <c r="E27" s="128">
        <v>0</v>
      </c>
      <c r="F27" s="71">
        <v>0</v>
      </c>
      <c r="G27" s="71">
        <v>123</v>
      </c>
      <c r="H27" s="128">
        <v>0</v>
      </c>
      <c r="I27" s="180">
        <v>17</v>
      </c>
      <c r="J27" s="128">
        <v>0</v>
      </c>
      <c r="K27" s="128">
        <v>0</v>
      </c>
      <c r="L27" s="71">
        <v>4346</v>
      </c>
      <c r="M27" s="128">
        <v>0</v>
      </c>
      <c r="N27" s="71">
        <v>2</v>
      </c>
      <c r="O27" s="128">
        <v>0</v>
      </c>
      <c r="P27" s="72">
        <v>0</v>
      </c>
      <c r="Q27" s="182">
        <v>7891</v>
      </c>
    </row>
    <row r="28" spans="1:17" s="46" customFormat="1" ht="18.75" customHeight="1" hidden="1">
      <c r="A28" s="270" t="s">
        <v>125</v>
      </c>
      <c r="B28" s="180">
        <f t="shared" si="0"/>
        <v>9857</v>
      </c>
      <c r="C28" s="72">
        <f t="shared" si="1"/>
        <v>10379</v>
      </c>
      <c r="D28" s="71">
        <v>7914</v>
      </c>
      <c r="E28" s="128">
        <v>0</v>
      </c>
      <c r="F28" s="71">
        <v>69</v>
      </c>
      <c r="G28" s="71">
        <v>53</v>
      </c>
      <c r="H28" s="128">
        <v>0</v>
      </c>
      <c r="I28" s="180">
        <v>17</v>
      </c>
      <c r="J28" s="128">
        <v>0</v>
      </c>
      <c r="K28" s="128">
        <v>0</v>
      </c>
      <c r="L28" s="71">
        <v>2295</v>
      </c>
      <c r="M28" s="128">
        <v>0</v>
      </c>
      <c r="N28" s="71">
        <v>31</v>
      </c>
      <c r="O28" s="128">
        <v>0</v>
      </c>
      <c r="P28" s="72">
        <v>0</v>
      </c>
      <c r="Q28" s="182">
        <v>-522</v>
      </c>
    </row>
    <row r="29" spans="1:17" s="46" customFormat="1" ht="18.75" customHeight="1" hidden="1">
      <c r="A29" s="270" t="s">
        <v>126</v>
      </c>
      <c r="B29" s="180">
        <f t="shared" si="0"/>
        <v>13911</v>
      </c>
      <c r="C29" s="72">
        <f t="shared" si="1"/>
        <v>12427</v>
      </c>
      <c r="D29" s="71">
        <v>8008</v>
      </c>
      <c r="E29" s="128">
        <v>0</v>
      </c>
      <c r="F29" s="71">
        <v>1</v>
      </c>
      <c r="G29" s="71">
        <v>17</v>
      </c>
      <c r="H29" s="128">
        <v>0</v>
      </c>
      <c r="I29" s="180">
        <v>17</v>
      </c>
      <c r="J29" s="128">
        <v>0</v>
      </c>
      <c r="K29" s="128">
        <v>0</v>
      </c>
      <c r="L29" s="71">
        <v>4382</v>
      </c>
      <c r="M29" s="128">
        <v>0</v>
      </c>
      <c r="N29" s="71">
        <v>2</v>
      </c>
      <c r="O29" s="128">
        <v>0</v>
      </c>
      <c r="P29" s="128">
        <v>0</v>
      </c>
      <c r="Q29" s="182">
        <v>1484</v>
      </c>
    </row>
    <row r="30" spans="1:17" s="46" customFormat="1" ht="18.75" customHeight="1" hidden="1">
      <c r="A30" s="270" t="s">
        <v>127</v>
      </c>
      <c r="B30" s="180">
        <f aca="true" t="shared" si="2" ref="B30:B35">C30+P30+Q30</f>
        <v>3588</v>
      </c>
      <c r="C30" s="72">
        <f t="shared" si="1"/>
        <v>32061</v>
      </c>
      <c r="D30" s="71">
        <v>19899</v>
      </c>
      <c r="E30" s="128">
        <v>0</v>
      </c>
      <c r="F30" s="71">
        <v>32</v>
      </c>
      <c r="G30" s="71">
        <v>154</v>
      </c>
      <c r="H30" s="128">
        <v>0</v>
      </c>
      <c r="I30" s="180">
        <v>50</v>
      </c>
      <c r="J30" s="71">
        <v>0</v>
      </c>
      <c r="K30" s="128">
        <v>0</v>
      </c>
      <c r="L30" s="71">
        <v>11908</v>
      </c>
      <c r="M30" s="128">
        <v>0</v>
      </c>
      <c r="N30" s="71">
        <v>18</v>
      </c>
      <c r="O30" s="128">
        <v>0</v>
      </c>
      <c r="P30" s="128">
        <v>4096</v>
      </c>
      <c r="Q30" s="182">
        <v>-32569</v>
      </c>
    </row>
    <row r="31" spans="1:17" s="46" customFormat="1" ht="18.75" customHeight="1">
      <c r="A31" s="270" t="s">
        <v>317</v>
      </c>
      <c r="B31" s="180">
        <f t="shared" si="2"/>
        <v>183556</v>
      </c>
      <c r="C31" s="72">
        <f t="shared" si="1"/>
        <v>138714</v>
      </c>
      <c r="D31" s="71">
        <v>101870</v>
      </c>
      <c r="E31" s="128">
        <v>0</v>
      </c>
      <c r="F31" s="71">
        <v>300</v>
      </c>
      <c r="G31" s="71">
        <v>704</v>
      </c>
      <c r="H31" s="128">
        <v>0</v>
      </c>
      <c r="I31" s="180">
        <v>253</v>
      </c>
      <c r="J31" s="71">
        <v>0</v>
      </c>
      <c r="K31" s="128">
        <v>0</v>
      </c>
      <c r="L31" s="71">
        <v>34563</v>
      </c>
      <c r="M31" s="128">
        <v>0</v>
      </c>
      <c r="N31" s="71">
        <v>1024</v>
      </c>
      <c r="O31" s="128">
        <v>0</v>
      </c>
      <c r="P31" s="128">
        <v>44842</v>
      </c>
      <c r="Q31" s="182">
        <v>0</v>
      </c>
    </row>
    <row r="32" spans="1:17" s="46" customFormat="1" ht="18.75" customHeight="1">
      <c r="A32" s="270" t="s">
        <v>324</v>
      </c>
      <c r="B32" s="180">
        <f t="shared" si="2"/>
        <v>207577</v>
      </c>
      <c r="C32" s="72">
        <f t="shared" si="1"/>
        <v>205273</v>
      </c>
      <c r="D32" s="71">
        <v>108002</v>
      </c>
      <c r="E32" s="128">
        <v>0</v>
      </c>
      <c r="F32" s="71">
        <v>280</v>
      </c>
      <c r="G32" s="71">
        <v>571</v>
      </c>
      <c r="H32" s="128">
        <v>0</v>
      </c>
      <c r="I32" s="180">
        <v>297</v>
      </c>
      <c r="J32" s="71">
        <v>0</v>
      </c>
      <c r="K32" s="128">
        <v>0</v>
      </c>
      <c r="L32" s="71">
        <v>95464</v>
      </c>
      <c r="M32" s="128">
        <v>14</v>
      </c>
      <c r="N32" s="71">
        <v>645</v>
      </c>
      <c r="O32" s="128">
        <v>0</v>
      </c>
      <c r="P32" s="128">
        <v>2304</v>
      </c>
      <c r="Q32" s="182">
        <v>0</v>
      </c>
    </row>
    <row r="33" spans="1:17" s="46" customFormat="1" ht="18.75" customHeight="1">
      <c r="A33" s="270" t="s">
        <v>342</v>
      </c>
      <c r="B33" s="180">
        <f t="shared" si="2"/>
        <v>181528</v>
      </c>
      <c r="C33" s="72">
        <f t="shared" si="1"/>
        <v>180943</v>
      </c>
      <c r="D33" s="71">
        <v>110354</v>
      </c>
      <c r="E33" s="128">
        <v>0</v>
      </c>
      <c r="F33" s="71">
        <v>1524</v>
      </c>
      <c r="G33" s="71">
        <v>459</v>
      </c>
      <c r="H33" s="128">
        <v>0</v>
      </c>
      <c r="I33" s="180">
        <v>684</v>
      </c>
      <c r="J33" s="71">
        <v>0</v>
      </c>
      <c r="K33" s="128">
        <v>0</v>
      </c>
      <c r="L33" s="71">
        <v>66562</v>
      </c>
      <c r="M33" s="128">
        <v>121</v>
      </c>
      <c r="N33" s="71">
        <v>1239</v>
      </c>
      <c r="O33" s="128">
        <v>0</v>
      </c>
      <c r="P33" s="128">
        <v>585</v>
      </c>
      <c r="Q33" s="182">
        <v>0</v>
      </c>
    </row>
    <row r="34" spans="1:17" s="46" customFormat="1" ht="18.75" customHeight="1">
      <c r="A34" s="270" t="s">
        <v>344</v>
      </c>
      <c r="B34" s="180">
        <f t="shared" si="2"/>
        <v>229620</v>
      </c>
      <c r="C34" s="72">
        <f>SUM(D34:O34)</f>
        <v>213623</v>
      </c>
      <c r="D34" s="71">
        <v>112540</v>
      </c>
      <c r="E34" s="128">
        <v>0</v>
      </c>
      <c r="F34" s="71">
        <v>730</v>
      </c>
      <c r="G34" s="71">
        <v>553</v>
      </c>
      <c r="H34" s="128">
        <v>0</v>
      </c>
      <c r="I34" s="180">
        <v>546</v>
      </c>
      <c r="J34" s="71">
        <v>0</v>
      </c>
      <c r="K34" s="128">
        <v>0</v>
      </c>
      <c r="L34" s="71">
        <v>97439</v>
      </c>
      <c r="M34" s="128">
        <f>-M342</f>
        <v>0</v>
      </c>
      <c r="N34" s="71">
        <v>1815</v>
      </c>
      <c r="O34" s="128">
        <v>0</v>
      </c>
      <c r="P34" s="128">
        <v>15878</v>
      </c>
      <c r="Q34" s="182">
        <v>119</v>
      </c>
    </row>
    <row r="35" spans="1:17" s="46" customFormat="1" ht="18.75" customHeight="1">
      <c r="A35" s="270" t="s">
        <v>354</v>
      </c>
      <c r="B35" s="180">
        <f t="shared" si="2"/>
        <v>348045</v>
      </c>
      <c r="C35" s="72">
        <f>SUM(D35:O35)</f>
        <v>216253</v>
      </c>
      <c r="D35" s="71">
        <v>130766</v>
      </c>
      <c r="E35" s="128">
        <v>0</v>
      </c>
      <c r="F35" s="71">
        <v>1919</v>
      </c>
      <c r="G35" s="71">
        <v>513</v>
      </c>
      <c r="H35" s="128">
        <v>0</v>
      </c>
      <c r="I35" s="180">
        <v>643</v>
      </c>
      <c r="J35" s="71">
        <v>0</v>
      </c>
      <c r="K35" s="128">
        <v>0</v>
      </c>
      <c r="L35" s="71">
        <v>81710</v>
      </c>
      <c r="M35" s="128">
        <v>110</v>
      </c>
      <c r="N35" s="71">
        <v>592</v>
      </c>
      <c r="O35" s="128">
        <v>0</v>
      </c>
      <c r="P35" s="128">
        <v>131792</v>
      </c>
      <c r="Q35" s="182">
        <v>0</v>
      </c>
    </row>
    <row r="36" spans="1:17" s="46" customFormat="1" ht="18.75" customHeight="1">
      <c r="A36" s="271" t="s">
        <v>365</v>
      </c>
      <c r="B36" s="256">
        <f>C36+P36+Q36</f>
        <v>405074</v>
      </c>
      <c r="C36" s="74">
        <f>SUM(D36:O36)</f>
        <v>348824</v>
      </c>
      <c r="D36" s="81">
        <v>132217</v>
      </c>
      <c r="E36" s="130">
        <v>0</v>
      </c>
      <c r="F36" s="81">
        <v>1193</v>
      </c>
      <c r="G36" s="81">
        <v>2671</v>
      </c>
      <c r="H36" s="130">
        <v>0</v>
      </c>
      <c r="I36" s="256">
        <v>712</v>
      </c>
      <c r="J36" s="81">
        <v>0</v>
      </c>
      <c r="K36" s="130">
        <v>0</v>
      </c>
      <c r="L36" s="81">
        <v>210119</v>
      </c>
      <c r="M36" s="130">
        <v>7</v>
      </c>
      <c r="N36" s="81">
        <v>1905</v>
      </c>
      <c r="O36" s="130">
        <v>0</v>
      </c>
      <c r="P36" s="130">
        <v>56250</v>
      </c>
      <c r="Q36" s="251">
        <v>0</v>
      </c>
    </row>
    <row r="37" spans="1:17" ht="18" customHeight="1">
      <c r="A37" s="318" t="s">
        <v>3</v>
      </c>
      <c r="B37" s="308"/>
      <c r="C37" s="308"/>
      <c r="D37" s="308"/>
      <c r="E37" s="308"/>
      <c r="F37" s="76"/>
      <c r="G37" s="246"/>
      <c r="H37" s="128"/>
      <c r="I37" s="246"/>
      <c r="J37" s="128"/>
      <c r="K37" s="128"/>
      <c r="L37" s="246"/>
      <c r="M37" s="128"/>
      <c r="N37" s="246"/>
      <c r="O37" s="128"/>
      <c r="P37" s="246"/>
      <c r="Q37" s="128"/>
    </row>
    <row r="38" spans="1:17" ht="18" customHeight="1">
      <c r="A38" s="304" t="s">
        <v>326</v>
      </c>
      <c r="B38" s="308"/>
      <c r="C38" s="77"/>
      <c r="D38" s="77"/>
      <c r="E38" s="78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1:5" ht="16.5">
      <c r="A39" s="79"/>
      <c r="B39" s="79"/>
      <c r="E39" s="8"/>
    </row>
    <row r="40" spans="1:5" ht="16.5">
      <c r="A40" s="79"/>
      <c r="B40" s="79"/>
      <c r="E40" s="8"/>
    </row>
    <row r="41" spans="1:5" ht="16.5">
      <c r="A41" s="79"/>
      <c r="B41" s="79"/>
      <c r="E41" s="8"/>
    </row>
    <row r="42" spans="1:5" ht="16.5">
      <c r="A42" s="79"/>
      <c r="B42" s="79"/>
      <c r="E42" s="8"/>
    </row>
    <row r="43" spans="1:5" ht="16.5">
      <c r="A43" s="79"/>
      <c r="B43" s="79"/>
      <c r="E43" s="8"/>
    </row>
    <row r="44" spans="1:5" ht="16.5">
      <c r="A44" s="79"/>
      <c r="B44" s="79"/>
      <c r="E44" s="8"/>
    </row>
    <row r="45" spans="1:5" ht="16.5">
      <c r="A45" s="79"/>
      <c r="B45" s="79"/>
      <c r="E45" s="8"/>
    </row>
    <row r="46" spans="1:5" ht="16.5">
      <c r="A46" s="79"/>
      <c r="B46" s="79"/>
      <c r="E46" s="8"/>
    </row>
    <row r="47" spans="1:5" ht="16.5">
      <c r="A47" s="79"/>
      <c r="B47" s="79"/>
      <c r="E47" s="8"/>
    </row>
    <row r="48" spans="1:5" ht="16.5">
      <c r="A48" s="79"/>
      <c r="B48" s="79"/>
      <c r="E48" s="8"/>
    </row>
    <row r="49" spans="1:5" ht="16.5">
      <c r="A49" s="79"/>
      <c r="B49" s="79"/>
      <c r="E49" s="8"/>
    </row>
    <row r="50" spans="1:5" ht="16.5">
      <c r="A50" s="79"/>
      <c r="B50" s="79"/>
      <c r="E50" s="8"/>
    </row>
    <row r="51" spans="1:5" ht="16.5">
      <c r="A51" s="79"/>
      <c r="B51" s="79"/>
      <c r="E51" s="8"/>
    </row>
    <row r="52" spans="1:5" ht="16.5">
      <c r="A52" s="79"/>
      <c r="B52" s="79"/>
      <c r="E52" s="8"/>
    </row>
    <row r="53" spans="1:5" ht="16.5">
      <c r="A53" s="79"/>
      <c r="B53" s="79"/>
      <c r="E53" s="8"/>
    </row>
    <row r="54" spans="1:5" ht="16.5">
      <c r="A54" s="79"/>
      <c r="B54" s="79"/>
      <c r="E54" s="8"/>
    </row>
    <row r="55" spans="1:5" ht="16.5">
      <c r="A55" s="79"/>
      <c r="B55" s="79"/>
      <c r="E55" s="8"/>
    </row>
    <row r="56" spans="1:5" ht="16.5">
      <c r="A56" s="79"/>
      <c r="B56" s="79"/>
      <c r="E56" s="8"/>
    </row>
    <row r="57" spans="1:5" ht="16.5">
      <c r="A57" s="79"/>
      <c r="B57" s="79"/>
      <c r="E57" s="8"/>
    </row>
    <row r="58" spans="1:5" ht="16.5">
      <c r="A58" s="79"/>
      <c r="B58" s="79"/>
      <c r="E58" s="8"/>
    </row>
    <row r="59" spans="1:5" ht="16.5">
      <c r="A59" s="79"/>
      <c r="B59" s="79"/>
      <c r="E59" s="8"/>
    </row>
    <row r="60" spans="1:5" ht="16.5">
      <c r="A60" s="79"/>
      <c r="B60" s="79"/>
      <c r="E60" s="8"/>
    </row>
    <row r="61" spans="1:5" ht="16.5">
      <c r="A61" s="79"/>
      <c r="B61" s="79"/>
      <c r="E61" s="8"/>
    </row>
    <row r="62" spans="1:5" ht="16.5">
      <c r="A62" s="79"/>
      <c r="B62" s="79"/>
      <c r="E62" s="8"/>
    </row>
    <row r="63" spans="1:5" ht="16.5">
      <c r="A63" s="79"/>
      <c r="B63" s="79"/>
      <c r="E63" s="8"/>
    </row>
    <row r="64" spans="1:5" ht="16.5">
      <c r="A64" s="79"/>
      <c r="B64" s="79"/>
      <c r="E64" s="8"/>
    </row>
    <row r="65" spans="1:5" ht="16.5">
      <c r="A65" s="79"/>
      <c r="B65" s="79"/>
      <c r="E65" s="8"/>
    </row>
    <row r="66" spans="1:5" ht="16.5">
      <c r="A66" s="79"/>
      <c r="B66" s="79"/>
      <c r="E66" s="8"/>
    </row>
    <row r="67" spans="1:5" ht="16.5">
      <c r="A67" s="79"/>
      <c r="B67" s="79"/>
      <c r="E67" s="8"/>
    </row>
    <row r="68" spans="1:5" ht="16.5">
      <c r="A68" s="79"/>
      <c r="B68" s="79"/>
      <c r="E68" s="8"/>
    </row>
    <row r="69" spans="1:5" ht="16.5">
      <c r="A69" s="79"/>
      <c r="B69" s="79"/>
      <c r="E69" s="8"/>
    </row>
    <row r="70" spans="1:5" ht="16.5">
      <c r="A70" s="79"/>
      <c r="B70" s="79"/>
      <c r="E70" s="8"/>
    </row>
    <row r="71" spans="1:5" ht="16.5">
      <c r="A71" s="79"/>
      <c r="B71" s="79"/>
      <c r="E71" s="8"/>
    </row>
    <row r="72" spans="1:5" ht="16.5">
      <c r="A72" s="79"/>
      <c r="B72" s="79"/>
      <c r="E72" s="8"/>
    </row>
    <row r="73" spans="1:5" ht="16.5">
      <c r="A73" s="79"/>
      <c r="B73" s="79"/>
      <c r="E73" s="8"/>
    </row>
    <row r="74" spans="1:5" ht="16.5">
      <c r="A74" s="79"/>
      <c r="B74" s="79"/>
      <c r="E74" s="8"/>
    </row>
    <row r="75" spans="1:5" ht="16.5">
      <c r="A75" s="79"/>
      <c r="B75" s="79"/>
      <c r="E75" s="8"/>
    </row>
    <row r="76" spans="1:5" ht="16.5">
      <c r="A76" s="79"/>
      <c r="B76" s="79"/>
      <c r="E76" s="8"/>
    </row>
    <row r="77" spans="1:5" ht="16.5">
      <c r="A77" s="79"/>
      <c r="B77" s="79"/>
      <c r="E77" s="8"/>
    </row>
    <row r="78" spans="1:5" ht="16.5">
      <c r="A78" s="79"/>
      <c r="B78" s="79"/>
      <c r="E78" s="8"/>
    </row>
    <row r="79" spans="1:5" ht="16.5">
      <c r="A79" s="79"/>
      <c r="B79" s="79"/>
      <c r="E79" s="8"/>
    </row>
    <row r="80" spans="1:5" ht="16.5">
      <c r="A80" s="79"/>
      <c r="B80" s="79"/>
      <c r="E80" s="8"/>
    </row>
    <row r="81" spans="1:5" ht="16.5">
      <c r="A81" s="79"/>
      <c r="B81" s="79"/>
      <c r="E81" s="8"/>
    </row>
    <row r="82" spans="1:5" ht="16.5">
      <c r="A82" s="79"/>
      <c r="B82" s="79"/>
      <c r="E82" s="8"/>
    </row>
    <row r="83" spans="1:5" ht="16.5">
      <c r="A83" s="79"/>
      <c r="B83" s="79"/>
      <c r="E83" s="8"/>
    </row>
    <row r="84" spans="1:5" ht="16.5">
      <c r="A84" s="79"/>
      <c r="B84" s="79"/>
      <c r="E84" s="8"/>
    </row>
    <row r="85" spans="1:5" ht="16.5">
      <c r="A85" s="79"/>
      <c r="B85" s="79"/>
      <c r="E85" s="8"/>
    </row>
    <row r="86" spans="1:2" ht="16.5">
      <c r="A86" s="79"/>
      <c r="B86" s="79"/>
    </row>
    <row r="87" spans="1:2" ht="16.5">
      <c r="A87" s="79"/>
      <c r="B87" s="79"/>
    </row>
    <row r="88" spans="1:2" ht="16.5">
      <c r="A88" s="79"/>
      <c r="B88" s="79"/>
    </row>
    <row r="89" spans="1:2" ht="16.5">
      <c r="A89" s="79"/>
      <c r="B89" s="79"/>
    </row>
    <row r="90" spans="1:2" ht="16.5">
      <c r="A90" s="79"/>
      <c r="B90" s="79"/>
    </row>
    <row r="91" spans="1:2" ht="16.5">
      <c r="A91" s="79"/>
      <c r="B91" s="79"/>
    </row>
    <row r="92" spans="1:2" ht="16.5">
      <c r="A92" s="79"/>
      <c r="B92" s="79"/>
    </row>
    <row r="93" spans="1:2" ht="16.5">
      <c r="A93" s="79"/>
      <c r="B93" s="79"/>
    </row>
    <row r="94" spans="1:2" ht="16.5">
      <c r="A94" s="79"/>
      <c r="B94" s="79"/>
    </row>
    <row r="95" spans="1:2" ht="16.5">
      <c r="A95" s="79"/>
      <c r="B95" s="79"/>
    </row>
    <row r="96" spans="1:2" ht="16.5">
      <c r="A96" s="79"/>
      <c r="B96" s="79"/>
    </row>
    <row r="97" spans="1:2" ht="16.5">
      <c r="A97" s="79"/>
      <c r="B97" s="79"/>
    </row>
    <row r="98" spans="1:2" ht="16.5">
      <c r="A98" s="79"/>
      <c r="B98" s="79"/>
    </row>
    <row r="99" spans="1:2" ht="16.5">
      <c r="A99" s="79"/>
      <c r="B99" s="79"/>
    </row>
    <row r="100" spans="1:2" ht="16.5">
      <c r="A100" s="79"/>
      <c r="B100" s="79"/>
    </row>
    <row r="101" spans="1:2" ht="16.5">
      <c r="A101" s="79"/>
      <c r="B101" s="79"/>
    </row>
    <row r="102" spans="1:2" ht="16.5">
      <c r="A102" s="79"/>
      <c r="B102" s="79"/>
    </row>
    <row r="103" spans="1:2" ht="16.5">
      <c r="A103" s="79"/>
      <c r="B103" s="79"/>
    </row>
    <row r="104" spans="1:2" ht="16.5">
      <c r="A104" s="79"/>
      <c r="B104" s="79"/>
    </row>
    <row r="105" spans="1:2" ht="16.5">
      <c r="A105" s="79"/>
      <c r="B105" s="79"/>
    </row>
    <row r="106" spans="1:2" ht="16.5">
      <c r="A106" s="79"/>
      <c r="B106" s="79"/>
    </row>
    <row r="107" spans="1:2" ht="16.5">
      <c r="A107" s="79"/>
      <c r="B107" s="79"/>
    </row>
    <row r="108" spans="1:2" ht="16.5">
      <c r="A108" s="79"/>
      <c r="B108" s="79"/>
    </row>
    <row r="109" spans="1:2" ht="16.5">
      <c r="A109" s="79"/>
      <c r="B109" s="79"/>
    </row>
    <row r="110" spans="1:2" ht="16.5">
      <c r="A110" s="79"/>
      <c r="B110" s="79"/>
    </row>
    <row r="111" spans="1:2" ht="16.5">
      <c r="A111" s="79"/>
      <c r="B111" s="79"/>
    </row>
    <row r="112" spans="1:2" ht="16.5">
      <c r="A112" s="79"/>
      <c r="B112" s="79"/>
    </row>
    <row r="113" spans="1:2" ht="16.5">
      <c r="A113" s="79"/>
      <c r="B113" s="79"/>
    </row>
    <row r="114" spans="1:2" ht="16.5">
      <c r="A114" s="79"/>
      <c r="B114" s="79"/>
    </row>
    <row r="115" spans="1:2" ht="16.5">
      <c r="A115" s="79"/>
      <c r="B115" s="79"/>
    </row>
    <row r="116" spans="1:2" ht="16.5">
      <c r="A116" s="79"/>
      <c r="B116" s="79"/>
    </row>
    <row r="117" spans="1:2" ht="16.5">
      <c r="A117" s="79"/>
      <c r="B117" s="79"/>
    </row>
    <row r="118" spans="1:2" ht="16.5">
      <c r="A118" s="79"/>
      <c r="B118" s="79"/>
    </row>
    <row r="119" spans="1:2" ht="16.5">
      <c r="A119" s="79"/>
      <c r="B119" s="79"/>
    </row>
    <row r="120" spans="1:2" ht="16.5">
      <c r="A120" s="79"/>
      <c r="B120" s="79"/>
    </row>
    <row r="121" spans="1:2" ht="16.5">
      <c r="A121" s="79"/>
      <c r="B121" s="79"/>
    </row>
    <row r="122" spans="1:2" ht="16.5">
      <c r="A122" s="79"/>
      <c r="B122" s="79"/>
    </row>
    <row r="123" spans="1:2" ht="16.5">
      <c r="A123" s="79"/>
      <c r="B123" s="79"/>
    </row>
    <row r="124" spans="1:2" ht="16.5">
      <c r="A124" s="79"/>
      <c r="B124" s="79"/>
    </row>
    <row r="125" spans="1:2" ht="16.5">
      <c r="A125" s="79"/>
      <c r="B125" s="79"/>
    </row>
    <row r="126" spans="1:2" ht="16.5">
      <c r="A126" s="79"/>
      <c r="B126" s="79"/>
    </row>
    <row r="127" spans="1:2" ht="16.5">
      <c r="A127" s="79"/>
      <c r="B127" s="79"/>
    </row>
    <row r="128" spans="1:2" ht="16.5">
      <c r="A128" s="79"/>
      <c r="B128" s="79"/>
    </row>
    <row r="129" spans="1:2" ht="16.5">
      <c r="A129" s="79"/>
      <c r="B129" s="79"/>
    </row>
    <row r="130" spans="1:2" ht="16.5">
      <c r="A130" s="79"/>
      <c r="B130" s="79"/>
    </row>
    <row r="131" spans="1:2" ht="16.5">
      <c r="A131" s="79"/>
      <c r="B131" s="79"/>
    </row>
    <row r="132" spans="1:2" ht="16.5">
      <c r="A132" s="79"/>
      <c r="B132" s="79"/>
    </row>
    <row r="133" spans="1:2" ht="16.5">
      <c r="A133" s="79"/>
      <c r="B133" s="79"/>
    </row>
    <row r="134" spans="1:2" ht="16.5">
      <c r="A134" s="79"/>
      <c r="B134" s="79"/>
    </row>
    <row r="135" spans="1:2" ht="16.5">
      <c r="A135" s="79"/>
      <c r="B135" s="79"/>
    </row>
    <row r="136" spans="1:2" ht="16.5">
      <c r="A136" s="79"/>
      <c r="B136" s="79"/>
    </row>
    <row r="137" spans="1:2" ht="16.5">
      <c r="A137" s="79"/>
      <c r="B137" s="79"/>
    </row>
    <row r="138" spans="1:2" ht="16.5">
      <c r="A138" s="79"/>
      <c r="B138" s="79"/>
    </row>
    <row r="139" spans="1:2" ht="16.5">
      <c r="A139" s="79"/>
      <c r="B139" s="79"/>
    </row>
    <row r="140" spans="1:2" ht="16.5">
      <c r="A140" s="79"/>
      <c r="B140" s="79"/>
    </row>
    <row r="141" spans="1:2" ht="16.5">
      <c r="A141" s="79"/>
      <c r="B141" s="79"/>
    </row>
    <row r="142" spans="1:2" ht="16.5">
      <c r="A142" s="79"/>
      <c r="B142" s="79"/>
    </row>
    <row r="143" spans="1:2" ht="16.5">
      <c r="A143" s="79"/>
      <c r="B143" s="79"/>
    </row>
    <row r="144" spans="1:2" ht="16.5">
      <c r="A144" s="79"/>
      <c r="B144" s="79"/>
    </row>
    <row r="145" spans="1:2" ht="16.5">
      <c r="A145" s="79"/>
      <c r="B145" s="79"/>
    </row>
    <row r="146" spans="1:2" ht="16.5">
      <c r="A146" s="79"/>
      <c r="B146" s="79"/>
    </row>
    <row r="147" spans="1:2" ht="16.5">
      <c r="A147" s="79"/>
      <c r="B147" s="79"/>
    </row>
    <row r="148" spans="1:2" ht="16.5">
      <c r="A148" s="79"/>
      <c r="B148" s="79"/>
    </row>
    <row r="149" spans="1:2" ht="16.5">
      <c r="A149" s="79"/>
      <c r="B149" s="79"/>
    </row>
    <row r="150" spans="1:2" ht="16.5">
      <c r="A150" s="79"/>
      <c r="B150" s="79"/>
    </row>
    <row r="151" spans="1:2" ht="16.5">
      <c r="A151" s="79"/>
      <c r="B151" s="79"/>
    </row>
    <row r="152" spans="1:2" ht="16.5">
      <c r="A152" s="79"/>
      <c r="B152" s="79"/>
    </row>
    <row r="153" spans="1:2" ht="16.5">
      <c r="A153" s="79"/>
      <c r="B153" s="79"/>
    </row>
    <row r="154" spans="1:2" ht="16.5">
      <c r="A154" s="79"/>
      <c r="B154" s="79"/>
    </row>
    <row r="155" spans="1:2" ht="16.5">
      <c r="A155" s="79"/>
      <c r="B155" s="79"/>
    </row>
    <row r="156" spans="1:2" ht="16.5">
      <c r="A156" s="79"/>
      <c r="B156" s="79"/>
    </row>
    <row r="157" spans="1:2" ht="16.5">
      <c r="A157" s="79"/>
      <c r="B157" s="79"/>
    </row>
    <row r="158" spans="1:2" ht="16.5">
      <c r="A158" s="79"/>
      <c r="B158" s="79"/>
    </row>
    <row r="159" spans="1:2" ht="16.5">
      <c r="A159" s="79"/>
      <c r="B159" s="79"/>
    </row>
    <row r="160" spans="1:2" ht="16.5">
      <c r="A160" s="79"/>
      <c r="B160" s="79"/>
    </row>
    <row r="161" spans="1:2" ht="16.5">
      <c r="A161" s="79"/>
      <c r="B161" s="79"/>
    </row>
    <row r="162" spans="1:2" ht="16.5">
      <c r="A162" s="79"/>
      <c r="B162" s="79"/>
    </row>
    <row r="163" spans="1:2" ht="16.5">
      <c r="A163" s="79"/>
      <c r="B163" s="79"/>
    </row>
    <row r="164" spans="1:2" ht="16.5">
      <c r="A164" s="79"/>
      <c r="B164" s="79"/>
    </row>
    <row r="165" spans="1:2" ht="16.5">
      <c r="A165" s="79"/>
      <c r="B165" s="79"/>
    </row>
    <row r="166" spans="1:2" ht="16.5">
      <c r="A166" s="79"/>
      <c r="B166" s="79"/>
    </row>
    <row r="167" spans="1:2" ht="16.5">
      <c r="A167" s="79"/>
      <c r="B167" s="79"/>
    </row>
    <row r="168" spans="1:2" ht="16.5">
      <c r="A168" s="79"/>
      <c r="B168" s="79"/>
    </row>
    <row r="169" spans="1:2" ht="16.5">
      <c r="A169" s="79"/>
      <c r="B169" s="79"/>
    </row>
    <row r="170" spans="1:2" ht="16.5">
      <c r="A170" s="79"/>
      <c r="B170" s="79"/>
    </row>
    <row r="171" spans="1:2" ht="16.5">
      <c r="A171" s="79"/>
      <c r="B171" s="79"/>
    </row>
    <row r="172" spans="1:2" ht="16.5">
      <c r="A172" s="79"/>
      <c r="B172" s="79"/>
    </row>
    <row r="173" spans="1:2" ht="16.5">
      <c r="A173" s="79"/>
      <c r="B173" s="79"/>
    </row>
    <row r="174" spans="1:2" ht="16.5">
      <c r="A174" s="79"/>
      <c r="B174" s="79"/>
    </row>
    <row r="175" spans="1:2" ht="16.5">
      <c r="A175" s="79"/>
      <c r="B175" s="79"/>
    </row>
    <row r="176" spans="1:2" ht="16.5">
      <c r="A176" s="79"/>
      <c r="B176" s="79"/>
    </row>
    <row r="177" spans="1:2" ht="16.5">
      <c r="A177" s="79"/>
      <c r="B177" s="79"/>
    </row>
    <row r="178" spans="1:2" ht="16.5">
      <c r="A178" s="79"/>
      <c r="B178" s="79"/>
    </row>
    <row r="179" spans="1:2" ht="16.5">
      <c r="A179" s="79"/>
      <c r="B179" s="79"/>
    </row>
    <row r="180" spans="1:2" ht="16.5">
      <c r="A180" s="79"/>
      <c r="B180" s="79"/>
    </row>
    <row r="181" spans="1:2" ht="16.5">
      <c r="A181" s="79"/>
      <c r="B181" s="79"/>
    </row>
    <row r="182" spans="1:2" ht="16.5">
      <c r="A182" s="79"/>
      <c r="B182" s="79"/>
    </row>
    <row r="183" spans="1:2" ht="16.5">
      <c r="A183" s="79"/>
      <c r="B183" s="79"/>
    </row>
    <row r="184" spans="1:2" ht="16.5">
      <c r="A184" s="79"/>
      <c r="B184" s="79"/>
    </row>
    <row r="185" spans="1:2" ht="16.5">
      <c r="A185" s="79"/>
      <c r="B185" s="79"/>
    </row>
    <row r="186" spans="1:2" ht="16.5">
      <c r="A186" s="79"/>
      <c r="B186" s="79"/>
    </row>
    <row r="187" spans="1:2" ht="16.5">
      <c r="A187" s="79"/>
      <c r="B187" s="79"/>
    </row>
    <row r="188" spans="1:2" ht="16.5">
      <c r="A188" s="79"/>
      <c r="B188" s="79"/>
    </row>
    <row r="189" spans="1:2" ht="16.5">
      <c r="A189" s="79"/>
      <c r="B189" s="79"/>
    </row>
    <row r="190" spans="1:2" ht="16.5">
      <c r="A190" s="79"/>
      <c r="B190" s="79"/>
    </row>
    <row r="191" spans="1:2" ht="16.5">
      <c r="A191" s="79"/>
      <c r="B191" s="79"/>
    </row>
    <row r="192" spans="1:2" ht="16.5">
      <c r="A192" s="79"/>
      <c r="B192" s="79"/>
    </row>
    <row r="193" spans="1:2" ht="16.5">
      <c r="A193" s="79"/>
      <c r="B193" s="79"/>
    </row>
    <row r="194" spans="1:2" ht="16.5">
      <c r="A194" s="79"/>
      <c r="B194" s="79"/>
    </row>
    <row r="195" spans="1:2" ht="16.5">
      <c r="A195" s="79"/>
      <c r="B195" s="79"/>
    </row>
    <row r="196" spans="1:2" ht="16.5">
      <c r="A196" s="79"/>
      <c r="B196" s="79"/>
    </row>
    <row r="197" spans="1:2" ht="16.5">
      <c r="A197" s="79"/>
      <c r="B197" s="79"/>
    </row>
    <row r="198" spans="1:2" ht="16.5">
      <c r="A198" s="79"/>
      <c r="B198" s="79"/>
    </row>
    <row r="199" spans="1:2" ht="16.5">
      <c r="A199" s="79"/>
      <c r="B199" s="79"/>
    </row>
    <row r="200" spans="1:2" ht="16.5">
      <c r="A200" s="79"/>
      <c r="B200" s="79"/>
    </row>
    <row r="201" spans="1:2" ht="16.5">
      <c r="A201" s="79"/>
      <c r="B201" s="79"/>
    </row>
    <row r="202" spans="1:2" ht="16.5">
      <c r="A202" s="79"/>
      <c r="B202" s="79"/>
    </row>
    <row r="203" spans="1:2" ht="16.5">
      <c r="A203" s="79"/>
      <c r="B203" s="79"/>
    </row>
    <row r="204" spans="1:2" ht="16.5">
      <c r="A204" s="79"/>
      <c r="B204" s="79"/>
    </row>
    <row r="205" spans="1:2" ht="16.5">
      <c r="A205" s="79"/>
      <c r="B205" s="79"/>
    </row>
    <row r="206" spans="1:2" ht="16.5">
      <c r="A206" s="79"/>
      <c r="B206" s="79"/>
    </row>
    <row r="207" spans="1:2" ht="16.5">
      <c r="A207" s="79"/>
      <c r="B207" s="79"/>
    </row>
    <row r="208" spans="1:2" ht="16.5">
      <c r="A208" s="79"/>
      <c r="B208" s="79"/>
    </row>
    <row r="209" spans="1:2" ht="16.5">
      <c r="A209" s="79"/>
      <c r="B209" s="79"/>
    </row>
    <row r="210" spans="1:2" ht="16.5">
      <c r="A210" s="79"/>
      <c r="B210" s="79"/>
    </row>
    <row r="211" spans="1:2" ht="16.5">
      <c r="A211" s="79"/>
      <c r="B211" s="79"/>
    </row>
    <row r="212" spans="1:2" ht="16.5">
      <c r="A212" s="79"/>
      <c r="B212" s="79"/>
    </row>
    <row r="213" spans="1:2" ht="16.5">
      <c r="A213" s="79"/>
      <c r="B213" s="79"/>
    </row>
    <row r="214" spans="1:2" ht="16.5">
      <c r="A214" s="79"/>
      <c r="B214" s="79"/>
    </row>
    <row r="215" spans="1:2" ht="16.5">
      <c r="A215" s="79"/>
      <c r="B215" s="79"/>
    </row>
    <row r="216" spans="1:2" ht="16.5">
      <c r="A216" s="79"/>
      <c r="B216" s="79"/>
    </row>
    <row r="217" spans="1:2" ht="16.5">
      <c r="A217" s="79"/>
      <c r="B217" s="79"/>
    </row>
    <row r="218" spans="1:2" ht="16.5">
      <c r="A218" s="79"/>
      <c r="B218" s="79"/>
    </row>
    <row r="219" spans="1:2" ht="16.5">
      <c r="A219" s="79"/>
      <c r="B219" s="79"/>
    </row>
    <row r="220" spans="1:2" ht="16.5">
      <c r="A220" s="79"/>
      <c r="B220" s="79"/>
    </row>
    <row r="221" spans="1:2" ht="16.5">
      <c r="A221" s="79"/>
      <c r="B221" s="79"/>
    </row>
    <row r="222" spans="1:2" ht="16.5">
      <c r="A222" s="79"/>
      <c r="B222" s="79"/>
    </row>
    <row r="223" spans="1:2" ht="16.5">
      <c r="A223" s="79"/>
      <c r="B223" s="79"/>
    </row>
    <row r="224" spans="1:2" ht="16.5">
      <c r="A224" s="79"/>
      <c r="B224" s="79"/>
    </row>
    <row r="225" spans="1:2" ht="16.5">
      <c r="A225" s="79"/>
      <c r="B225" s="79"/>
    </row>
    <row r="226" spans="1:2" ht="16.5">
      <c r="A226" s="79"/>
      <c r="B226" s="79"/>
    </row>
    <row r="227" spans="1:2" ht="16.5">
      <c r="A227" s="79"/>
      <c r="B227" s="79"/>
    </row>
    <row r="228" spans="1:2" ht="16.5">
      <c r="A228" s="79"/>
      <c r="B228" s="79"/>
    </row>
    <row r="229" spans="1:2" ht="16.5">
      <c r="A229" s="79"/>
      <c r="B229" s="79"/>
    </row>
    <row r="230" spans="1:2" ht="16.5">
      <c r="A230" s="79"/>
      <c r="B230" s="79"/>
    </row>
    <row r="231" spans="1:2" ht="16.5">
      <c r="A231" s="79"/>
      <c r="B231" s="79"/>
    </row>
    <row r="232" spans="1:2" ht="16.5">
      <c r="A232" s="79"/>
      <c r="B232" s="79"/>
    </row>
    <row r="233" spans="1:2" ht="16.5">
      <c r="A233" s="79"/>
      <c r="B233" s="79"/>
    </row>
    <row r="234" spans="1:2" ht="16.5">
      <c r="A234" s="79"/>
      <c r="B234" s="79"/>
    </row>
    <row r="235" spans="1:2" ht="16.5">
      <c r="A235" s="79"/>
      <c r="B235" s="79"/>
    </row>
    <row r="236" spans="1:2" ht="16.5">
      <c r="A236" s="79"/>
      <c r="B236" s="79"/>
    </row>
    <row r="237" spans="1:2" ht="16.5">
      <c r="A237" s="79"/>
      <c r="B237" s="79"/>
    </row>
    <row r="238" spans="1:2" ht="16.5">
      <c r="A238" s="79"/>
      <c r="B238" s="79"/>
    </row>
    <row r="239" spans="1:2" ht="16.5">
      <c r="A239" s="79"/>
      <c r="B239" s="79"/>
    </row>
    <row r="240" spans="1:2" ht="16.5">
      <c r="A240" s="79"/>
      <c r="B240" s="79"/>
    </row>
    <row r="241" spans="1:2" ht="16.5">
      <c r="A241" s="79"/>
      <c r="B241" s="79"/>
    </row>
    <row r="242" spans="1:2" ht="16.5">
      <c r="A242" s="79"/>
      <c r="B242" s="79"/>
    </row>
    <row r="243" spans="1:2" ht="16.5">
      <c r="A243" s="79"/>
      <c r="B243" s="79"/>
    </row>
    <row r="244" spans="1:2" ht="16.5">
      <c r="A244" s="79"/>
      <c r="B244" s="79"/>
    </row>
    <row r="245" spans="1:2" ht="16.5">
      <c r="A245" s="79"/>
      <c r="B245" s="79"/>
    </row>
    <row r="246" spans="1:2" ht="16.5">
      <c r="A246" s="79"/>
      <c r="B246" s="79"/>
    </row>
    <row r="247" spans="1:2" ht="16.5">
      <c r="A247" s="79"/>
      <c r="B247" s="79"/>
    </row>
    <row r="248" spans="1:2" ht="16.5">
      <c r="A248" s="79"/>
      <c r="B248" s="79"/>
    </row>
    <row r="249" spans="1:2" ht="16.5">
      <c r="A249" s="79"/>
      <c r="B249" s="79"/>
    </row>
    <row r="250" spans="1:2" ht="16.5">
      <c r="A250" s="79"/>
      <c r="B250" s="79"/>
    </row>
    <row r="251" spans="1:2" ht="16.5">
      <c r="A251" s="79"/>
      <c r="B251" s="79"/>
    </row>
    <row r="252" spans="1:2" ht="16.5">
      <c r="A252" s="79"/>
      <c r="B252" s="79"/>
    </row>
    <row r="253" spans="1:2" ht="16.5">
      <c r="A253" s="79"/>
      <c r="B253" s="79"/>
    </row>
    <row r="254" spans="1:2" ht="16.5">
      <c r="A254" s="79"/>
      <c r="B254" s="79"/>
    </row>
    <row r="255" spans="1:2" ht="16.5">
      <c r="A255" s="79"/>
      <c r="B255" s="79"/>
    </row>
    <row r="256" spans="1:2" ht="16.5">
      <c r="A256" s="79"/>
      <c r="B256" s="79"/>
    </row>
    <row r="257" spans="1:2" ht="16.5">
      <c r="A257" s="79"/>
      <c r="B257" s="79"/>
    </row>
    <row r="258" spans="1:2" ht="16.5">
      <c r="A258" s="79"/>
      <c r="B258" s="79"/>
    </row>
    <row r="259" spans="1:2" ht="16.5">
      <c r="A259" s="79"/>
      <c r="B259" s="79"/>
    </row>
    <row r="260" spans="1:2" ht="16.5">
      <c r="A260" s="79"/>
      <c r="B260" s="79"/>
    </row>
    <row r="261" spans="1:2" ht="16.5">
      <c r="A261" s="79"/>
      <c r="B261" s="79"/>
    </row>
    <row r="262" spans="1:2" ht="16.5">
      <c r="A262" s="79"/>
      <c r="B262" s="79"/>
    </row>
    <row r="263" spans="1:2" ht="16.5">
      <c r="A263" s="79"/>
      <c r="B263" s="79"/>
    </row>
    <row r="264" spans="1:2" ht="16.5">
      <c r="A264" s="79"/>
      <c r="B264" s="79"/>
    </row>
    <row r="265" spans="1:2" ht="16.5">
      <c r="A265" s="79"/>
      <c r="B265" s="79"/>
    </row>
    <row r="266" spans="1:2" ht="16.5">
      <c r="A266" s="79"/>
      <c r="B266" s="79"/>
    </row>
    <row r="267" spans="1:2" ht="16.5">
      <c r="A267" s="79"/>
      <c r="B267" s="79"/>
    </row>
    <row r="268" spans="1:2" ht="16.5">
      <c r="A268" s="79"/>
      <c r="B268" s="79"/>
    </row>
    <row r="269" spans="1:2" ht="16.5">
      <c r="A269" s="79"/>
      <c r="B269" s="79"/>
    </row>
    <row r="270" spans="1:2" ht="16.5">
      <c r="A270" s="79"/>
      <c r="B270" s="79"/>
    </row>
    <row r="271" spans="1:2" ht="16.5">
      <c r="A271" s="79"/>
      <c r="B271" s="79"/>
    </row>
    <row r="272" spans="1:2" ht="16.5">
      <c r="A272" s="79"/>
      <c r="B272" s="79"/>
    </row>
    <row r="273" spans="1:2" ht="16.5">
      <c r="A273" s="79"/>
      <c r="B273" s="79"/>
    </row>
    <row r="274" spans="1:2" ht="16.5">
      <c r="A274" s="79"/>
      <c r="B274" s="79"/>
    </row>
    <row r="275" spans="1:2" ht="16.5">
      <c r="A275" s="79"/>
      <c r="B275" s="79"/>
    </row>
    <row r="276" spans="1:2" ht="16.5">
      <c r="A276" s="79"/>
      <c r="B276" s="79"/>
    </row>
    <row r="277" spans="1:2" ht="16.5">
      <c r="A277" s="79"/>
      <c r="B277" s="79"/>
    </row>
    <row r="278" spans="1:2" ht="16.5">
      <c r="A278" s="79"/>
      <c r="B278" s="79"/>
    </row>
    <row r="279" spans="1:2" ht="16.5">
      <c r="A279" s="79"/>
      <c r="B279" s="79"/>
    </row>
    <row r="280" spans="1:2" ht="16.5">
      <c r="A280" s="79"/>
      <c r="B280" s="79"/>
    </row>
    <row r="281" spans="1:2" ht="16.5">
      <c r="A281" s="79"/>
      <c r="B281" s="79"/>
    </row>
    <row r="282" spans="1:2" ht="16.5">
      <c r="A282" s="79"/>
      <c r="B282" s="79"/>
    </row>
    <row r="283" spans="1:2" ht="16.5">
      <c r="A283" s="79"/>
      <c r="B283" s="79"/>
    </row>
    <row r="284" spans="1:2" ht="16.5">
      <c r="A284" s="79"/>
      <c r="B284" s="79"/>
    </row>
    <row r="285" spans="1:2" ht="16.5">
      <c r="A285" s="79"/>
      <c r="B285" s="79"/>
    </row>
    <row r="286" spans="1:2" ht="16.5">
      <c r="A286" s="79"/>
      <c r="B286" s="79"/>
    </row>
    <row r="287" spans="1:2" ht="16.5">
      <c r="A287" s="79"/>
      <c r="B287" s="79"/>
    </row>
    <row r="288" spans="1:2" ht="16.5">
      <c r="A288" s="79"/>
      <c r="B288" s="79"/>
    </row>
    <row r="289" spans="1:2" ht="16.5">
      <c r="A289" s="79"/>
      <c r="B289" s="79"/>
    </row>
    <row r="290" spans="1:2" ht="16.5">
      <c r="A290" s="79"/>
      <c r="B290" s="79"/>
    </row>
    <row r="291" spans="1:2" ht="16.5">
      <c r="A291" s="79"/>
      <c r="B291" s="79"/>
    </row>
    <row r="292" spans="1:2" ht="16.5">
      <c r="A292" s="79"/>
      <c r="B292" s="79"/>
    </row>
    <row r="293" spans="1:2" ht="16.5">
      <c r="A293" s="79"/>
      <c r="B293" s="79"/>
    </row>
    <row r="294" spans="1:2" ht="16.5">
      <c r="A294" s="79"/>
      <c r="B294" s="79"/>
    </row>
    <row r="295" spans="1:2" ht="16.5">
      <c r="A295" s="79"/>
      <c r="B295" s="79"/>
    </row>
    <row r="296" spans="1:2" ht="16.5">
      <c r="A296" s="79"/>
      <c r="B296" s="79"/>
    </row>
    <row r="297" spans="1:2" ht="16.5">
      <c r="A297" s="79"/>
      <c r="B297" s="79"/>
    </row>
    <row r="298" spans="1:2" ht="16.5">
      <c r="A298" s="79"/>
      <c r="B298" s="79"/>
    </row>
    <row r="299" spans="1:2" ht="16.5">
      <c r="A299" s="79"/>
      <c r="B299" s="79"/>
    </row>
    <row r="300" spans="1:2" ht="16.5">
      <c r="A300" s="79"/>
      <c r="B300" s="79"/>
    </row>
    <row r="301" spans="1:2" ht="16.5">
      <c r="A301" s="79"/>
      <c r="B301" s="79"/>
    </row>
    <row r="302" spans="1:2" ht="16.5">
      <c r="A302" s="79"/>
      <c r="B302" s="79"/>
    </row>
    <row r="303" spans="1:2" ht="16.5">
      <c r="A303" s="79"/>
      <c r="B303" s="79"/>
    </row>
    <row r="304" spans="1:2" ht="16.5">
      <c r="A304" s="79"/>
      <c r="B304" s="79"/>
    </row>
    <row r="305" spans="1:2" ht="16.5">
      <c r="A305" s="79"/>
      <c r="B305" s="79"/>
    </row>
    <row r="306" spans="1:2" ht="16.5">
      <c r="A306" s="79"/>
      <c r="B306" s="79"/>
    </row>
    <row r="307" spans="1:2" ht="16.5">
      <c r="A307" s="79"/>
      <c r="B307" s="79"/>
    </row>
    <row r="308" spans="1:2" ht="16.5">
      <c r="A308" s="79"/>
      <c r="B308" s="79"/>
    </row>
    <row r="309" spans="1:2" ht="16.5">
      <c r="A309" s="79"/>
      <c r="B309" s="79"/>
    </row>
    <row r="310" spans="1:2" ht="16.5">
      <c r="A310" s="79"/>
      <c r="B310" s="79"/>
    </row>
    <row r="311" spans="1:2" ht="16.5">
      <c r="A311" s="79"/>
      <c r="B311" s="79"/>
    </row>
    <row r="312" spans="1:2" ht="16.5">
      <c r="A312" s="79"/>
      <c r="B312" s="79"/>
    </row>
    <row r="313" spans="1:2" ht="16.5">
      <c r="A313" s="79"/>
      <c r="B313" s="79"/>
    </row>
    <row r="314" spans="1:2" ht="16.5">
      <c r="A314" s="79"/>
      <c r="B314" s="79"/>
    </row>
    <row r="315" spans="1:2" ht="16.5">
      <c r="A315" s="79"/>
      <c r="B315" s="79"/>
    </row>
    <row r="316" spans="1:2" ht="16.5">
      <c r="A316" s="79"/>
      <c r="B316" s="79"/>
    </row>
    <row r="317" spans="1:2" ht="16.5">
      <c r="A317" s="79"/>
      <c r="B317" s="79"/>
    </row>
    <row r="318" spans="1:2" ht="16.5">
      <c r="A318" s="79"/>
      <c r="B318" s="79"/>
    </row>
    <row r="319" spans="1:2" ht="16.5">
      <c r="A319" s="79"/>
      <c r="B319" s="79"/>
    </row>
    <row r="320" spans="1:2" ht="16.5">
      <c r="A320" s="79"/>
      <c r="B320" s="79"/>
    </row>
    <row r="321" spans="1:2" ht="16.5">
      <c r="A321" s="79"/>
      <c r="B321" s="79"/>
    </row>
    <row r="322" spans="1:2" ht="16.5">
      <c r="A322" s="79"/>
      <c r="B322" s="79"/>
    </row>
    <row r="323" spans="1:2" ht="16.5">
      <c r="A323" s="79"/>
      <c r="B323" s="79"/>
    </row>
    <row r="324" spans="1:2" ht="16.5">
      <c r="A324" s="79"/>
      <c r="B324" s="79"/>
    </row>
    <row r="325" spans="1:2" ht="16.5">
      <c r="A325" s="79"/>
      <c r="B325" s="79"/>
    </row>
    <row r="326" spans="1:2" ht="16.5">
      <c r="A326" s="79"/>
      <c r="B326" s="79"/>
    </row>
    <row r="327" spans="1:2" ht="16.5">
      <c r="A327" s="79"/>
      <c r="B327" s="79"/>
    </row>
    <row r="328" spans="1:2" ht="16.5">
      <c r="A328" s="79"/>
      <c r="B328" s="79"/>
    </row>
    <row r="329" spans="1:2" ht="16.5">
      <c r="A329" s="79"/>
      <c r="B329" s="79"/>
    </row>
    <row r="330" spans="1:2" ht="16.5">
      <c r="A330" s="79"/>
      <c r="B330" s="79"/>
    </row>
    <row r="331" spans="1:2" ht="16.5">
      <c r="A331" s="79"/>
      <c r="B331" s="79"/>
    </row>
    <row r="332" spans="1:2" ht="16.5">
      <c r="A332" s="79"/>
      <c r="B332" s="79"/>
    </row>
    <row r="333" spans="1:2" ht="16.5">
      <c r="A333" s="79"/>
      <c r="B333" s="79"/>
    </row>
    <row r="334" spans="1:2" ht="16.5">
      <c r="A334" s="79"/>
      <c r="B334" s="79"/>
    </row>
    <row r="335" spans="1:2" ht="16.5">
      <c r="A335" s="79"/>
      <c r="B335" s="79"/>
    </row>
    <row r="336" spans="1:2" ht="16.5">
      <c r="A336" s="79"/>
      <c r="B336" s="79"/>
    </row>
    <row r="337" spans="1:2" ht="16.5">
      <c r="A337" s="79"/>
      <c r="B337" s="79"/>
    </row>
    <row r="338" spans="1:2" ht="16.5">
      <c r="A338" s="79"/>
      <c r="B338" s="79"/>
    </row>
    <row r="339" spans="1:2" ht="16.5">
      <c r="A339" s="79"/>
      <c r="B339" s="79"/>
    </row>
    <row r="340" spans="1:2" ht="16.5">
      <c r="A340" s="79"/>
      <c r="B340" s="79"/>
    </row>
    <row r="341" spans="1:2" ht="16.5">
      <c r="A341" s="79"/>
      <c r="B341" s="79"/>
    </row>
    <row r="342" spans="1:2" ht="16.5">
      <c r="A342" s="79"/>
      <c r="B342" s="79"/>
    </row>
    <row r="343" spans="1:2" ht="16.5">
      <c r="A343" s="79"/>
      <c r="B343" s="79"/>
    </row>
    <row r="344" spans="1:2" ht="16.5">
      <c r="A344" s="79"/>
      <c r="B344" s="79"/>
    </row>
    <row r="345" spans="1:2" ht="16.5">
      <c r="A345" s="79"/>
      <c r="B345" s="79"/>
    </row>
    <row r="346" spans="1:2" ht="16.5">
      <c r="A346" s="79"/>
      <c r="B346" s="79"/>
    </row>
    <row r="347" spans="1:2" ht="16.5">
      <c r="A347" s="79"/>
      <c r="B347" s="79"/>
    </row>
    <row r="348" spans="1:2" ht="16.5">
      <c r="A348" s="79"/>
      <c r="B348" s="79"/>
    </row>
    <row r="349" spans="1:2" ht="16.5">
      <c r="A349" s="79"/>
      <c r="B349" s="79"/>
    </row>
    <row r="350" spans="1:2" ht="16.5">
      <c r="A350" s="79"/>
      <c r="B350" s="79"/>
    </row>
    <row r="351" spans="1:2" ht="16.5">
      <c r="A351" s="79"/>
      <c r="B351" s="79"/>
    </row>
    <row r="352" spans="1:2" ht="16.5">
      <c r="A352" s="79"/>
      <c r="B352" s="79"/>
    </row>
    <row r="353" spans="1:2" ht="16.5">
      <c r="A353" s="79"/>
      <c r="B353" s="79"/>
    </row>
    <row r="354" spans="1:2" ht="16.5">
      <c r="A354" s="79"/>
      <c r="B354" s="79"/>
    </row>
    <row r="355" spans="1:2" ht="16.5">
      <c r="A355" s="79"/>
      <c r="B355" s="79"/>
    </row>
    <row r="356" spans="1:2" ht="16.5">
      <c r="A356" s="79"/>
      <c r="B356" s="79"/>
    </row>
    <row r="357" spans="1:2" ht="16.5">
      <c r="A357" s="79"/>
      <c r="B357" s="79"/>
    </row>
    <row r="358" spans="1:2" ht="16.5">
      <c r="A358" s="79"/>
      <c r="B358" s="79"/>
    </row>
    <row r="359" spans="1:2" ht="16.5">
      <c r="A359" s="79"/>
      <c r="B359" s="79"/>
    </row>
    <row r="360" spans="1:2" ht="16.5">
      <c r="A360" s="79"/>
      <c r="B360" s="79"/>
    </row>
    <row r="361" spans="1:2" ht="16.5">
      <c r="A361" s="79"/>
      <c r="B361" s="79"/>
    </row>
    <row r="362" spans="1:2" ht="16.5">
      <c r="A362" s="79"/>
      <c r="B362" s="79"/>
    </row>
    <row r="363" spans="1:2" ht="16.5">
      <c r="A363" s="79"/>
      <c r="B363" s="79"/>
    </row>
    <row r="364" spans="1:2" ht="16.5">
      <c r="A364" s="79"/>
      <c r="B364" s="79"/>
    </row>
    <row r="365" spans="1:2" ht="16.5">
      <c r="A365" s="79"/>
      <c r="B365" s="79"/>
    </row>
    <row r="366" spans="1:2" ht="16.5">
      <c r="A366" s="79"/>
      <c r="B366" s="79"/>
    </row>
    <row r="367" spans="1:2" ht="16.5">
      <c r="A367" s="79"/>
      <c r="B367" s="79"/>
    </row>
    <row r="368" spans="1:2" ht="16.5">
      <c r="A368" s="79"/>
      <c r="B368" s="79"/>
    </row>
    <row r="369" spans="1:2" ht="16.5">
      <c r="A369" s="79"/>
      <c r="B369" s="79"/>
    </row>
    <row r="370" spans="1:2" ht="16.5">
      <c r="A370" s="79"/>
      <c r="B370" s="79"/>
    </row>
    <row r="371" spans="1:2" ht="16.5">
      <c r="A371" s="79"/>
      <c r="B371" s="79"/>
    </row>
    <row r="372" spans="1:2" ht="16.5">
      <c r="A372" s="79"/>
      <c r="B372" s="79"/>
    </row>
    <row r="373" spans="1:2" ht="16.5">
      <c r="A373" s="79"/>
      <c r="B373" s="79"/>
    </row>
    <row r="374" spans="1:2" ht="16.5">
      <c r="A374" s="79"/>
      <c r="B374" s="79"/>
    </row>
    <row r="375" spans="1:2" ht="16.5">
      <c r="A375" s="79"/>
      <c r="B375" s="79"/>
    </row>
    <row r="376" spans="1:2" ht="16.5">
      <c r="A376" s="79"/>
      <c r="B376" s="79"/>
    </row>
    <row r="377" spans="1:2" ht="16.5">
      <c r="A377" s="79"/>
      <c r="B377" s="79"/>
    </row>
    <row r="378" spans="1:2" ht="16.5">
      <c r="A378" s="79"/>
      <c r="B378" s="79"/>
    </row>
    <row r="379" spans="1:2" ht="16.5">
      <c r="A379" s="79"/>
      <c r="B379" s="79"/>
    </row>
    <row r="380" spans="1:2" ht="16.5">
      <c r="A380" s="79"/>
      <c r="B380" s="79"/>
    </row>
    <row r="381" spans="1:2" ht="16.5">
      <c r="A381" s="79"/>
      <c r="B381" s="79"/>
    </row>
    <row r="382" spans="1:2" ht="16.5">
      <c r="A382" s="79"/>
      <c r="B382" s="79"/>
    </row>
    <row r="383" spans="1:2" ht="16.5">
      <c r="A383" s="79"/>
      <c r="B383" s="79"/>
    </row>
    <row r="384" spans="1:2" ht="16.5">
      <c r="A384" s="79"/>
      <c r="B384" s="79"/>
    </row>
    <row r="385" spans="1:2" ht="16.5">
      <c r="A385" s="79"/>
      <c r="B385" s="79"/>
    </row>
    <row r="386" spans="1:2" ht="16.5">
      <c r="A386" s="79"/>
      <c r="B386" s="79"/>
    </row>
    <row r="387" spans="1:2" ht="16.5">
      <c r="A387" s="79"/>
      <c r="B387" s="79"/>
    </row>
    <row r="388" spans="1:2" ht="16.5">
      <c r="A388" s="79"/>
      <c r="B388" s="79"/>
    </row>
    <row r="389" spans="1:2" ht="16.5">
      <c r="A389" s="79"/>
      <c r="B389" s="79"/>
    </row>
    <row r="390" spans="1:2" ht="16.5">
      <c r="A390" s="79"/>
      <c r="B390" s="79"/>
    </row>
    <row r="391" spans="1:2" ht="16.5">
      <c r="A391" s="79"/>
      <c r="B391" s="79"/>
    </row>
    <row r="392" spans="1:2" ht="16.5">
      <c r="A392" s="79"/>
      <c r="B392" s="79"/>
    </row>
    <row r="393" spans="1:2" ht="16.5">
      <c r="A393" s="79"/>
      <c r="B393" s="79"/>
    </row>
    <row r="394" spans="1:2" ht="16.5">
      <c r="A394" s="79"/>
      <c r="B394" s="79"/>
    </row>
    <row r="395" spans="1:2" ht="16.5">
      <c r="A395" s="79"/>
      <c r="B395" s="79"/>
    </row>
    <row r="396" spans="1:2" ht="16.5">
      <c r="A396" s="79"/>
      <c r="B396" s="79"/>
    </row>
    <row r="397" spans="1:2" ht="16.5">
      <c r="A397" s="79"/>
      <c r="B397" s="79"/>
    </row>
    <row r="398" spans="1:2" ht="16.5">
      <c r="A398" s="79"/>
      <c r="B398" s="79"/>
    </row>
    <row r="399" spans="1:2" ht="16.5">
      <c r="A399" s="79"/>
      <c r="B399" s="79"/>
    </row>
    <row r="400" spans="1:2" ht="16.5">
      <c r="A400" s="79"/>
      <c r="B400" s="79"/>
    </row>
    <row r="401" spans="1:2" ht="16.5">
      <c r="A401" s="79"/>
      <c r="B401" s="79"/>
    </row>
    <row r="402" spans="1:2" ht="16.5">
      <c r="A402" s="79"/>
      <c r="B402" s="79"/>
    </row>
    <row r="403" spans="1:2" ht="16.5">
      <c r="A403" s="79"/>
      <c r="B403" s="79"/>
    </row>
    <row r="404" spans="1:2" ht="16.5">
      <c r="A404" s="79"/>
      <c r="B404" s="79"/>
    </row>
    <row r="405" spans="1:2" ht="16.5">
      <c r="A405" s="79"/>
      <c r="B405" s="79"/>
    </row>
    <row r="406" spans="1:2" ht="16.5">
      <c r="A406" s="79"/>
      <c r="B406" s="79"/>
    </row>
    <row r="407" spans="1:2" ht="16.5">
      <c r="A407" s="79"/>
      <c r="B407" s="79"/>
    </row>
    <row r="408" spans="1:2" ht="16.5">
      <c r="A408" s="79"/>
      <c r="B408" s="79"/>
    </row>
    <row r="409" spans="1:2" ht="16.5">
      <c r="A409" s="79"/>
      <c r="B409" s="79"/>
    </row>
    <row r="410" spans="1:2" ht="16.5">
      <c r="A410" s="79"/>
      <c r="B410" s="79"/>
    </row>
    <row r="411" spans="1:2" ht="16.5">
      <c r="A411" s="79"/>
      <c r="B411" s="79"/>
    </row>
    <row r="412" spans="1:2" ht="16.5">
      <c r="A412" s="79"/>
      <c r="B412" s="79"/>
    </row>
    <row r="413" spans="1:2" ht="16.5">
      <c r="A413" s="79"/>
      <c r="B413" s="79"/>
    </row>
    <row r="414" spans="1:2" ht="16.5">
      <c r="A414" s="79"/>
      <c r="B414" s="79"/>
    </row>
    <row r="415" spans="1:2" ht="16.5">
      <c r="A415" s="79"/>
      <c r="B415" s="79"/>
    </row>
    <row r="416" spans="1:2" ht="16.5">
      <c r="A416" s="79"/>
      <c r="B416" s="79"/>
    </row>
    <row r="417" spans="1:2" ht="16.5">
      <c r="A417" s="79"/>
      <c r="B417" s="79"/>
    </row>
    <row r="418" spans="1:2" ht="16.5">
      <c r="A418" s="79"/>
      <c r="B418" s="79"/>
    </row>
    <row r="419" spans="1:2" ht="16.5">
      <c r="A419" s="79"/>
      <c r="B419" s="79"/>
    </row>
    <row r="420" spans="1:2" ht="16.5">
      <c r="A420" s="79"/>
      <c r="B420" s="79"/>
    </row>
    <row r="421" spans="1:2" ht="16.5">
      <c r="A421" s="79"/>
      <c r="B421" s="79"/>
    </row>
    <row r="422" spans="1:2" ht="16.5">
      <c r="A422" s="79"/>
      <c r="B422" s="79"/>
    </row>
    <row r="423" spans="1:2" ht="16.5">
      <c r="A423" s="79"/>
      <c r="B423" s="79"/>
    </row>
    <row r="424" spans="1:2" ht="16.5">
      <c r="A424" s="79"/>
      <c r="B424" s="79"/>
    </row>
    <row r="425" spans="1:2" ht="16.5">
      <c r="A425" s="79"/>
      <c r="B425" s="79"/>
    </row>
    <row r="426" spans="1:2" ht="16.5">
      <c r="A426" s="79"/>
      <c r="B426" s="79"/>
    </row>
    <row r="427" spans="1:2" ht="16.5">
      <c r="A427" s="79"/>
      <c r="B427" s="79"/>
    </row>
    <row r="428" spans="1:2" ht="16.5">
      <c r="A428" s="79"/>
      <c r="B428" s="79"/>
    </row>
    <row r="429" spans="1:2" ht="16.5">
      <c r="A429" s="79"/>
      <c r="B429" s="79"/>
    </row>
    <row r="430" spans="1:2" ht="16.5">
      <c r="A430" s="79"/>
      <c r="B430" s="79"/>
    </row>
    <row r="431" spans="1:2" ht="16.5">
      <c r="A431" s="79"/>
      <c r="B431" s="79"/>
    </row>
    <row r="432" spans="1:2" ht="16.5">
      <c r="A432" s="79"/>
      <c r="B432" s="79"/>
    </row>
    <row r="433" spans="1:2" ht="16.5">
      <c r="A433" s="79"/>
      <c r="B433" s="79"/>
    </row>
    <row r="434" spans="1:2" ht="16.5">
      <c r="A434" s="79"/>
      <c r="B434" s="79"/>
    </row>
    <row r="435" spans="1:2" ht="16.5">
      <c r="A435" s="79"/>
      <c r="B435" s="79"/>
    </row>
    <row r="436" spans="1:2" ht="16.5">
      <c r="A436" s="79"/>
      <c r="B436" s="79"/>
    </row>
    <row r="437" spans="1:2" ht="16.5">
      <c r="A437" s="79"/>
      <c r="B437" s="79"/>
    </row>
    <row r="438" spans="1:2" ht="16.5">
      <c r="A438" s="79"/>
      <c r="B438" s="79"/>
    </row>
    <row r="439" spans="1:2" ht="16.5">
      <c r="A439" s="79"/>
      <c r="B439" s="79"/>
    </row>
    <row r="440" spans="1:2" ht="16.5">
      <c r="A440" s="79"/>
      <c r="B440" s="79"/>
    </row>
    <row r="441" spans="1:2" ht="16.5">
      <c r="A441" s="79"/>
      <c r="B441" s="79"/>
    </row>
    <row r="442" spans="1:2" ht="16.5">
      <c r="A442" s="79"/>
      <c r="B442" s="79"/>
    </row>
    <row r="443" spans="1:2" ht="16.5">
      <c r="A443" s="79"/>
      <c r="B443" s="79"/>
    </row>
    <row r="444" spans="1:2" ht="16.5">
      <c r="A444" s="79"/>
      <c r="B444" s="79"/>
    </row>
    <row r="445" spans="1:2" ht="16.5">
      <c r="A445" s="79"/>
      <c r="B445" s="79"/>
    </row>
    <row r="446" spans="1:2" ht="16.5">
      <c r="A446" s="79"/>
      <c r="B446" s="79"/>
    </row>
    <row r="447" spans="1:2" ht="16.5">
      <c r="A447" s="79"/>
      <c r="B447" s="79"/>
    </row>
    <row r="448" spans="1:2" ht="16.5">
      <c r="A448" s="79"/>
      <c r="B448" s="79"/>
    </row>
    <row r="449" spans="1:2" ht="16.5">
      <c r="A449" s="79"/>
      <c r="B449" s="79"/>
    </row>
    <row r="450" spans="1:2" ht="16.5">
      <c r="A450" s="79"/>
      <c r="B450" s="79"/>
    </row>
    <row r="451" spans="1:2" ht="16.5">
      <c r="A451" s="79"/>
      <c r="B451" s="79"/>
    </row>
    <row r="452" spans="1:2" ht="16.5">
      <c r="A452" s="79"/>
      <c r="B452" s="79"/>
    </row>
    <row r="453" spans="1:2" ht="16.5">
      <c r="A453" s="79"/>
      <c r="B453" s="79"/>
    </row>
    <row r="454" spans="1:2" ht="16.5">
      <c r="A454" s="79"/>
      <c r="B454" s="79"/>
    </row>
    <row r="455" spans="1:2" ht="16.5">
      <c r="A455" s="79"/>
      <c r="B455" s="79"/>
    </row>
    <row r="456" spans="1:2" ht="16.5">
      <c r="A456" s="79"/>
      <c r="B456" s="79"/>
    </row>
    <row r="457" spans="1:2" ht="16.5">
      <c r="A457" s="79"/>
      <c r="B457" s="79"/>
    </row>
    <row r="458" spans="1:2" ht="16.5">
      <c r="A458" s="79"/>
      <c r="B458" s="79"/>
    </row>
    <row r="459" spans="1:2" ht="16.5">
      <c r="A459" s="79"/>
      <c r="B459" s="79"/>
    </row>
    <row r="460" spans="1:2" ht="16.5">
      <c r="A460" s="79"/>
      <c r="B460" s="79"/>
    </row>
    <row r="461" spans="1:2" ht="16.5">
      <c r="A461" s="79"/>
      <c r="B461" s="79"/>
    </row>
    <row r="462" spans="1:2" ht="16.5">
      <c r="A462" s="79"/>
      <c r="B462" s="79"/>
    </row>
    <row r="463" spans="1:2" ht="16.5">
      <c r="A463" s="79"/>
      <c r="B463" s="79"/>
    </row>
    <row r="464" spans="1:2" ht="16.5">
      <c r="A464" s="79"/>
      <c r="B464" s="79"/>
    </row>
    <row r="465" spans="1:2" ht="16.5">
      <c r="A465" s="79"/>
      <c r="B465" s="79"/>
    </row>
    <row r="466" spans="1:2" ht="16.5">
      <c r="A466" s="79"/>
      <c r="B466" s="79"/>
    </row>
    <row r="467" spans="1:2" ht="16.5">
      <c r="A467" s="79"/>
      <c r="B467" s="79"/>
    </row>
    <row r="468" spans="1:2" ht="16.5">
      <c r="A468" s="79"/>
      <c r="B468" s="79"/>
    </row>
    <row r="469" spans="1:2" ht="16.5">
      <c r="A469" s="79"/>
      <c r="B469" s="79"/>
    </row>
    <row r="470" spans="1:2" ht="16.5">
      <c r="A470" s="79"/>
      <c r="B470" s="79"/>
    </row>
    <row r="471" spans="1:2" ht="16.5">
      <c r="A471" s="79"/>
      <c r="B471" s="79"/>
    </row>
    <row r="472" spans="1:2" ht="16.5">
      <c r="A472" s="79"/>
      <c r="B472" s="79"/>
    </row>
    <row r="473" spans="1:2" ht="16.5">
      <c r="A473" s="79"/>
      <c r="B473" s="79"/>
    </row>
    <row r="474" spans="1:2" ht="16.5">
      <c r="A474" s="79"/>
      <c r="B474" s="79"/>
    </row>
    <row r="475" spans="1:2" ht="16.5">
      <c r="A475" s="79"/>
      <c r="B475" s="79"/>
    </row>
    <row r="476" spans="1:2" ht="16.5">
      <c r="A476" s="79"/>
      <c r="B476" s="79"/>
    </row>
    <row r="477" spans="1:2" ht="16.5">
      <c r="A477" s="79"/>
      <c r="B477" s="79"/>
    </row>
    <row r="478" spans="1:2" ht="16.5">
      <c r="A478" s="79"/>
      <c r="B478" s="79"/>
    </row>
    <row r="479" spans="1:2" ht="16.5">
      <c r="A479" s="79"/>
      <c r="B479" s="79"/>
    </row>
    <row r="480" spans="1:2" ht="16.5">
      <c r="A480" s="79"/>
      <c r="B480" s="79"/>
    </row>
    <row r="481" spans="1:2" ht="16.5">
      <c r="A481" s="79"/>
      <c r="B481" s="79"/>
    </row>
    <row r="482" spans="1:2" ht="16.5">
      <c r="A482" s="79"/>
      <c r="B482" s="79"/>
    </row>
    <row r="483" spans="1:2" ht="16.5">
      <c r="A483" s="79"/>
      <c r="B483" s="79"/>
    </row>
    <row r="484" spans="1:2" ht="16.5">
      <c r="A484" s="79"/>
      <c r="B484" s="79"/>
    </row>
    <row r="485" spans="1:2" ht="16.5">
      <c r="A485" s="79"/>
      <c r="B485" s="79"/>
    </row>
    <row r="486" spans="1:2" ht="16.5">
      <c r="A486" s="79"/>
      <c r="B486" s="79"/>
    </row>
    <row r="487" spans="1:2" ht="16.5">
      <c r="A487" s="79"/>
      <c r="B487" s="79"/>
    </row>
    <row r="488" spans="1:2" ht="16.5">
      <c r="A488" s="79"/>
      <c r="B488" s="79"/>
    </row>
    <row r="489" spans="1:2" ht="16.5">
      <c r="A489" s="79"/>
      <c r="B489" s="79"/>
    </row>
    <row r="490" spans="1:2" ht="16.5">
      <c r="A490" s="79"/>
      <c r="B490" s="79"/>
    </row>
    <row r="491" spans="1:2" ht="16.5">
      <c r="A491" s="79"/>
      <c r="B491" s="79"/>
    </row>
    <row r="492" spans="1:2" ht="16.5">
      <c r="A492" s="79"/>
      <c r="B492" s="79"/>
    </row>
    <row r="493" spans="1:2" ht="16.5">
      <c r="A493" s="79"/>
      <c r="B493" s="79"/>
    </row>
    <row r="494" spans="1:2" ht="16.5">
      <c r="A494" s="79"/>
      <c r="B494" s="79"/>
    </row>
    <row r="495" spans="1:2" ht="16.5">
      <c r="A495" s="79"/>
      <c r="B495" s="79"/>
    </row>
    <row r="496" spans="1:2" ht="16.5">
      <c r="A496" s="79"/>
      <c r="B496" s="79"/>
    </row>
    <row r="497" spans="1:2" ht="16.5">
      <c r="A497" s="79"/>
      <c r="B497" s="79"/>
    </row>
    <row r="498" spans="1:2" ht="16.5">
      <c r="A498" s="79"/>
      <c r="B498" s="79"/>
    </row>
    <row r="499" spans="1:2" ht="16.5">
      <c r="A499" s="79"/>
      <c r="B499" s="79"/>
    </row>
    <row r="500" spans="1:2" ht="16.5">
      <c r="A500" s="79"/>
      <c r="B500" s="79"/>
    </row>
    <row r="501" spans="1:2" ht="16.5">
      <c r="A501" s="79"/>
      <c r="B501" s="79"/>
    </row>
    <row r="502" spans="1:2" ht="16.5">
      <c r="A502" s="79"/>
      <c r="B502" s="79"/>
    </row>
    <row r="503" spans="1:2" ht="16.5">
      <c r="A503" s="79"/>
      <c r="B503" s="79"/>
    </row>
    <row r="504" spans="1:2" ht="16.5">
      <c r="A504" s="79"/>
      <c r="B504" s="79"/>
    </row>
    <row r="505" spans="1:2" ht="16.5">
      <c r="A505" s="79"/>
      <c r="B505" s="79"/>
    </row>
    <row r="506" spans="1:2" ht="16.5">
      <c r="A506" s="79"/>
      <c r="B506" s="79"/>
    </row>
    <row r="507" spans="1:2" ht="16.5">
      <c r="A507" s="79"/>
      <c r="B507" s="79"/>
    </row>
    <row r="508" spans="1:2" ht="16.5">
      <c r="A508" s="79"/>
      <c r="B508" s="79"/>
    </row>
    <row r="509" spans="1:2" ht="16.5">
      <c r="A509" s="79"/>
      <c r="B509" s="79"/>
    </row>
    <row r="510" spans="1:2" ht="16.5">
      <c r="A510" s="79"/>
      <c r="B510" s="79"/>
    </row>
    <row r="511" spans="1:2" ht="16.5">
      <c r="A511" s="79"/>
      <c r="B511" s="79"/>
    </row>
    <row r="512" spans="1:2" ht="16.5">
      <c r="A512" s="79"/>
      <c r="B512" s="79"/>
    </row>
    <row r="513" spans="1:2" ht="16.5">
      <c r="A513" s="79"/>
      <c r="B513" s="79"/>
    </row>
    <row r="514" spans="1:2" ht="16.5">
      <c r="A514" s="79"/>
      <c r="B514" s="79"/>
    </row>
    <row r="515" spans="1:2" ht="16.5">
      <c r="A515" s="79"/>
      <c r="B515" s="79"/>
    </row>
    <row r="516" spans="1:2" ht="16.5">
      <c r="A516" s="79"/>
      <c r="B516" s="79"/>
    </row>
    <row r="517" spans="1:2" ht="16.5">
      <c r="A517" s="79"/>
      <c r="B517" s="79"/>
    </row>
    <row r="518" spans="1:2" ht="16.5">
      <c r="A518" s="79"/>
      <c r="B518" s="79"/>
    </row>
    <row r="519" spans="1:2" ht="16.5">
      <c r="A519" s="79"/>
      <c r="B519" s="79"/>
    </row>
    <row r="520" spans="1:2" ht="16.5">
      <c r="A520" s="79"/>
      <c r="B520" s="79"/>
    </row>
    <row r="521" spans="1:2" ht="16.5">
      <c r="A521" s="79"/>
      <c r="B521" s="79"/>
    </row>
    <row r="522" spans="1:2" ht="16.5">
      <c r="A522" s="79"/>
      <c r="B522" s="79"/>
    </row>
    <row r="523" spans="1:2" ht="16.5">
      <c r="A523" s="79"/>
      <c r="B523" s="79"/>
    </row>
    <row r="524" spans="1:2" ht="16.5">
      <c r="A524" s="79"/>
      <c r="B524" s="79"/>
    </row>
    <row r="525" spans="1:2" ht="16.5">
      <c r="A525" s="79"/>
      <c r="B525" s="79"/>
    </row>
    <row r="526" spans="1:2" ht="16.5">
      <c r="A526" s="79"/>
      <c r="B526" s="79"/>
    </row>
    <row r="527" spans="1:2" ht="16.5">
      <c r="A527" s="79"/>
      <c r="B527" s="79"/>
    </row>
    <row r="528" spans="1:2" ht="16.5">
      <c r="A528" s="79"/>
      <c r="B528" s="79"/>
    </row>
    <row r="529" spans="1:2" ht="16.5">
      <c r="A529" s="79"/>
      <c r="B529" s="79"/>
    </row>
    <row r="530" spans="1:2" ht="16.5">
      <c r="A530" s="79"/>
      <c r="B530" s="79"/>
    </row>
    <row r="531" spans="1:2" ht="16.5">
      <c r="A531" s="79"/>
      <c r="B531" s="79"/>
    </row>
    <row r="532" spans="1:2" ht="16.5">
      <c r="A532" s="79"/>
      <c r="B532" s="79"/>
    </row>
    <row r="533" spans="1:2" ht="16.5">
      <c r="A533" s="79"/>
      <c r="B533" s="79"/>
    </row>
    <row r="534" spans="1:2" ht="16.5">
      <c r="A534" s="79"/>
      <c r="B534" s="79"/>
    </row>
    <row r="535" spans="1:2" ht="16.5">
      <c r="A535" s="79"/>
      <c r="B535" s="79"/>
    </row>
    <row r="536" spans="1:2" ht="16.5">
      <c r="A536" s="79"/>
      <c r="B536" s="79"/>
    </row>
    <row r="537" spans="1:2" ht="16.5">
      <c r="A537" s="79"/>
      <c r="B537" s="79"/>
    </row>
    <row r="538" spans="1:2" ht="16.5">
      <c r="A538" s="79"/>
      <c r="B538" s="79"/>
    </row>
    <row r="539" spans="1:2" ht="16.5">
      <c r="A539" s="79"/>
      <c r="B539" s="79"/>
    </row>
    <row r="540" spans="1:2" ht="16.5">
      <c r="A540" s="79"/>
      <c r="B540" s="79"/>
    </row>
    <row r="541" spans="1:2" ht="16.5">
      <c r="A541" s="79"/>
      <c r="B541" s="79"/>
    </row>
    <row r="542" spans="1:2" ht="16.5">
      <c r="A542" s="79"/>
      <c r="B542" s="79"/>
    </row>
    <row r="543" spans="1:2" ht="16.5">
      <c r="A543" s="79"/>
      <c r="B543" s="79"/>
    </row>
    <row r="544" spans="1:2" ht="16.5">
      <c r="A544" s="79"/>
      <c r="B544" s="79"/>
    </row>
    <row r="545" spans="1:2" ht="16.5">
      <c r="A545" s="79"/>
      <c r="B545" s="79"/>
    </row>
    <row r="546" spans="1:2" ht="16.5">
      <c r="A546" s="79"/>
      <c r="B546" s="79"/>
    </row>
    <row r="547" spans="1:2" ht="16.5">
      <c r="A547" s="79"/>
      <c r="B547" s="79"/>
    </row>
    <row r="548" spans="1:2" ht="16.5">
      <c r="A548" s="79"/>
      <c r="B548" s="79"/>
    </row>
    <row r="549" spans="1:2" ht="16.5">
      <c r="A549" s="79"/>
      <c r="B549" s="79"/>
    </row>
    <row r="550" spans="1:2" ht="16.5">
      <c r="A550" s="79"/>
      <c r="B550" s="79"/>
    </row>
    <row r="551" spans="1:2" ht="16.5">
      <c r="A551" s="79"/>
      <c r="B551" s="79"/>
    </row>
    <row r="552" spans="1:2" ht="16.5">
      <c r="A552" s="79"/>
      <c r="B552" s="79"/>
    </row>
    <row r="553" spans="1:2" ht="16.5">
      <c r="A553" s="79"/>
      <c r="B553" s="79"/>
    </row>
    <row r="554" spans="1:2" ht="16.5">
      <c r="A554" s="79"/>
      <c r="B554" s="79"/>
    </row>
    <row r="555" spans="1:2" ht="16.5">
      <c r="A555" s="79"/>
      <c r="B555" s="79"/>
    </row>
    <row r="556" spans="1:2" ht="16.5">
      <c r="A556" s="79"/>
      <c r="B556" s="79"/>
    </row>
    <row r="557" spans="1:2" ht="16.5">
      <c r="A557" s="79"/>
      <c r="B557" s="79"/>
    </row>
    <row r="558" spans="1:2" ht="16.5">
      <c r="A558" s="79"/>
      <c r="B558" s="79"/>
    </row>
    <row r="559" spans="1:2" ht="16.5">
      <c r="A559" s="79"/>
      <c r="B559" s="79"/>
    </row>
    <row r="560" spans="1:2" ht="16.5">
      <c r="A560" s="79"/>
      <c r="B560" s="79"/>
    </row>
    <row r="561" spans="1:2" ht="16.5">
      <c r="A561" s="79"/>
      <c r="B561" s="79"/>
    </row>
    <row r="562" spans="1:2" ht="16.5">
      <c r="A562" s="79"/>
      <c r="B562" s="79"/>
    </row>
    <row r="563" spans="1:2" ht="16.5">
      <c r="A563" s="79"/>
      <c r="B563" s="79"/>
    </row>
    <row r="564" spans="1:2" ht="16.5">
      <c r="A564" s="79"/>
      <c r="B564" s="79"/>
    </row>
    <row r="565" spans="1:2" ht="16.5">
      <c r="A565" s="79"/>
      <c r="B565" s="79"/>
    </row>
    <row r="566" spans="1:2" ht="16.5">
      <c r="A566" s="79"/>
      <c r="B566" s="79"/>
    </row>
    <row r="567" spans="1:2" ht="16.5">
      <c r="A567" s="79"/>
      <c r="B567" s="79"/>
    </row>
    <row r="568" spans="1:2" ht="16.5">
      <c r="A568" s="79"/>
      <c r="B568" s="79"/>
    </row>
    <row r="569" spans="1:2" ht="16.5">
      <c r="A569" s="79"/>
      <c r="B569" s="79"/>
    </row>
    <row r="570" spans="1:2" ht="16.5">
      <c r="A570" s="79"/>
      <c r="B570" s="79"/>
    </row>
    <row r="571" spans="1:2" ht="16.5">
      <c r="A571" s="79"/>
      <c r="B571" s="79"/>
    </row>
    <row r="572" spans="1:2" ht="16.5">
      <c r="A572" s="79"/>
      <c r="B572" s="79"/>
    </row>
    <row r="573" spans="1:2" ht="16.5">
      <c r="A573" s="79"/>
      <c r="B573" s="79"/>
    </row>
    <row r="574" spans="1:2" ht="16.5">
      <c r="A574" s="79"/>
      <c r="B574" s="79"/>
    </row>
    <row r="575" spans="1:2" ht="16.5">
      <c r="A575" s="79"/>
      <c r="B575" s="79"/>
    </row>
    <row r="576" spans="1:2" ht="16.5">
      <c r="A576" s="79"/>
      <c r="B576" s="79"/>
    </row>
    <row r="577" spans="1:2" ht="16.5">
      <c r="A577" s="79"/>
      <c r="B577" s="79"/>
    </row>
    <row r="578" spans="1:2" ht="16.5">
      <c r="A578" s="79"/>
      <c r="B578" s="79"/>
    </row>
    <row r="579" spans="1:2" ht="16.5">
      <c r="A579" s="79"/>
      <c r="B579" s="79"/>
    </row>
    <row r="580" spans="1:2" ht="16.5">
      <c r="A580" s="79"/>
      <c r="B580" s="79"/>
    </row>
    <row r="581" spans="1:2" ht="16.5">
      <c r="A581" s="79"/>
      <c r="B581" s="79"/>
    </row>
    <row r="582" spans="1:2" ht="16.5">
      <c r="A582" s="79"/>
      <c r="B582" s="79"/>
    </row>
    <row r="583" spans="1:2" ht="16.5">
      <c r="A583" s="79"/>
      <c r="B583" s="79"/>
    </row>
    <row r="584" spans="1:2" ht="16.5">
      <c r="A584" s="79"/>
      <c r="B584" s="79"/>
    </row>
    <row r="585" spans="1:2" ht="16.5">
      <c r="A585" s="79"/>
      <c r="B585" s="79"/>
    </row>
    <row r="586" spans="1:2" ht="16.5">
      <c r="A586" s="79"/>
      <c r="B586" s="79"/>
    </row>
    <row r="587" spans="1:2" ht="16.5">
      <c r="A587" s="79"/>
      <c r="B587" s="79"/>
    </row>
    <row r="588" spans="1:2" ht="16.5">
      <c r="A588" s="79"/>
      <c r="B588" s="79"/>
    </row>
    <row r="589" spans="1:2" ht="16.5">
      <c r="A589" s="79"/>
      <c r="B589" s="79"/>
    </row>
    <row r="590" spans="1:2" ht="16.5">
      <c r="A590" s="79"/>
      <c r="B590" s="79"/>
    </row>
    <row r="591" spans="1:2" ht="16.5">
      <c r="A591" s="79"/>
      <c r="B591" s="79"/>
    </row>
    <row r="592" spans="1:2" ht="16.5">
      <c r="A592" s="79"/>
      <c r="B592" s="79"/>
    </row>
    <row r="593" spans="1:2" ht="16.5">
      <c r="A593" s="79"/>
      <c r="B593" s="79"/>
    </row>
    <row r="594" spans="1:2" ht="16.5">
      <c r="A594" s="79"/>
      <c r="B594" s="79"/>
    </row>
    <row r="595" spans="1:2" ht="16.5">
      <c r="A595" s="79"/>
      <c r="B595" s="79"/>
    </row>
    <row r="596" spans="1:2" ht="16.5">
      <c r="A596" s="79"/>
      <c r="B596" s="79"/>
    </row>
    <row r="597" spans="1:2" ht="16.5">
      <c r="A597" s="79"/>
      <c r="B597" s="79"/>
    </row>
    <row r="598" spans="1:2" ht="16.5">
      <c r="A598" s="79"/>
      <c r="B598" s="79"/>
    </row>
    <row r="599" spans="1:2" ht="16.5">
      <c r="A599" s="79"/>
      <c r="B599" s="79"/>
    </row>
    <row r="600" spans="1:2" ht="16.5">
      <c r="A600" s="79"/>
      <c r="B600" s="79"/>
    </row>
    <row r="601" spans="1:2" ht="16.5">
      <c r="A601" s="79"/>
      <c r="B601" s="79"/>
    </row>
    <row r="602" spans="1:2" ht="16.5">
      <c r="A602" s="79"/>
      <c r="B602" s="79"/>
    </row>
    <row r="603" spans="1:2" ht="16.5">
      <c r="A603" s="79"/>
      <c r="B603" s="79"/>
    </row>
    <row r="604" spans="1:2" ht="16.5">
      <c r="A604" s="79"/>
      <c r="B604" s="79"/>
    </row>
    <row r="605" spans="1:2" ht="16.5">
      <c r="A605" s="79"/>
      <c r="B605" s="79"/>
    </row>
    <row r="606" spans="1:2" ht="16.5">
      <c r="A606" s="79"/>
      <c r="B606" s="79"/>
    </row>
    <row r="607" spans="1:2" ht="16.5">
      <c r="A607" s="79"/>
      <c r="B607" s="79"/>
    </row>
    <row r="608" spans="1:2" ht="16.5">
      <c r="A608" s="79"/>
      <c r="B608" s="79"/>
    </row>
    <row r="609" spans="1:2" ht="16.5">
      <c r="A609" s="79"/>
      <c r="B609" s="79"/>
    </row>
    <row r="610" spans="1:2" ht="16.5">
      <c r="A610" s="79"/>
      <c r="B610" s="79"/>
    </row>
    <row r="611" spans="1:2" ht="16.5">
      <c r="A611" s="79"/>
      <c r="B611" s="79"/>
    </row>
    <row r="612" spans="1:2" ht="16.5">
      <c r="A612" s="79"/>
      <c r="B612" s="79"/>
    </row>
    <row r="613" spans="1:2" ht="16.5">
      <c r="A613" s="79"/>
      <c r="B613" s="79"/>
    </row>
    <row r="614" spans="1:2" ht="16.5">
      <c r="A614" s="79"/>
      <c r="B614" s="79"/>
    </row>
    <row r="615" spans="1:2" ht="16.5">
      <c r="A615" s="79"/>
      <c r="B615" s="79"/>
    </row>
    <row r="616" spans="1:2" ht="16.5">
      <c r="A616" s="79"/>
      <c r="B616" s="79"/>
    </row>
    <row r="617" spans="1:2" ht="16.5">
      <c r="A617" s="79"/>
      <c r="B617" s="79"/>
    </row>
    <row r="618" spans="1:2" ht="16.5">
      <c r="A618" s="79"/>
      <c r="B618" s="79"/>
    </row>
    <row r="619" spans="1:2" ht="16.5">
      <c r="A619" s="79"/>
      <c r="B619" s="79"/>
    </row>
    <row r="620" spans="1:2" ht="16.5">
      <c r="A620" s="79"/>
      <c r="B620" s="79"/>
    </row>
    <row r="621" spans="1:2" ht="16.5">
      <c r="A621" s="79"/>
      <c r="B621" s="79"/>
    </row>
    <row r="622" spans="1:2" ht="16.5">
      <c r="A622" s="79"/>
      <c r="B622" s="79"/>
    </row>
    <row r="623" spans="1:2" ht="16.5">
      <c r="A623" s="79"/>
      <c r="B623" s="79"/>
    </row>
    <row r="624" spans="1:2" ht="16.5">
      <c r="A624" s="79"/>
      <c r="B624" s="79"/>
    </row>
    <row r="625" spans="1:2" ht="16.5">
      <c r="A625" s="79"/>
      <c r="B625" s="79"/>
    </row>
    <row r="626" spans="1:2" ht="16.5">
      <c r="A626" s="79"/>
      <c r="B626" s="79"/>
    </row>
    <row r="627" spans="1:2" ht="16.5">
      <c r="A627" s="79"/>
      <c r="B627" s="79"/>
    </row>
    <row r="628" spans="1:2" ht="16.5">
      <c r="A628" s="79"/>
      <c r="B628" s="79"/>
    </row>
    <row r="629" spans="1:2" ht="16.5">
      <c r="A629" s="79"/>
      <c r="B629" s="79"/>
    </row>
    <row r="630" spans="1:2" ht="16.5">
      <c r="A630" s="79"/>
      <c r="B630" s="79"/>
    </row>
    <row r="631" spans="1:2" ht="16.5">
      <c r="A631" s="79"/>
      <c r="B631" s="79"/>
    </row>
    <row r="632" spans="1:2" ht="16.5">
      <c r="A632" s="79"/>
      <c r="B632" s="79"/>
    </row>
    <row r="633" spans="1:2" ht="16.5">
      <c r="A633" s="79"/>
      <c r="B633" s="79"/>
    </row>
    <row r="634" spans="1:2" ht="16.5">
      <c r="A634" s="79"/>
      <c r="B634" s="79"/>
    </row>
    <row r="635" spans="1:2" ht="16.5">
      <c r="A635" s="79"/>
      <c r="B635" s="79"/>
    </row>
    <row r="636" spans="1:2" ht="16.5">
      <c r="A636" s="79"/>
      <c r="B636" s="79"/>
    </row>
    <row r="637" spans="1:2" ht="16.5">
      <c r="A637" s="79"/>
      <c r="B637" s="79"/>
    </row>
    <row r="638" spans="1:2" ht="16.5">
      <c r="A638" s="79"/>
      <c r="B638" s="79"/>
    </row>
    <row r="639" spans="1:2" ht="16.5">
      <c r="A639" s="79"/>
      <c r="B639" s="79"/>
    </row>
    <row r="640" spans="1:2" ht="16.5">
      <c r="A640" s="79"/>
      <c r="B640" s="79"/>
    </row>
    <row r="641" spans="1:2" ht="16.5">
      <c r="A641" s="79"/>
      <c r="B641" s="79"/>
    </row>
    <row r="642" spans="1:2" ht="16.5">
      <c r="A642" s="79"/>
      <c r="B642" s="79"/>
    </row>
    <row r="643" spans="1:2" ht="16.5">
      <c r="A643" s="79"/>
      <c r="B643" s="79"/>
    </row>
    <row r="644" spans="1:2" ht="16.5">
      <c r="A644" s="79"/>
      <c r="B644" s="79"/>
    </row>
    <row r="645" spans="1:2" ht="16.5">
      <c r="A645" s="79"/>
      <c r="B645" s="79"/>
    </row>
    <row r="646" spans="1:2" ht="16.5">
      <c r="A646" s="79"/>
      <c r="B646" s="79"/>
    </row>
    <row r="647" spans="1:2" ht="16.5">
      <c r="A647" s="79"/>
      <c r="B647" s="79"/>
    </row>
    <row r="648" spans="1:2" ht="16.5">
      <c r="A648" s="79"/>
      <c r="B648" s="79"/>
    </row>
    <row r="649" spans="1:2" ht="16.5">
      <c r="A649" s="79"/>
      <c r="B649" s="79"/>
    </row>
    <row r="650" spans="1:2" ht="16.5">
      <c r="A650" s="79"/>
      <c r="B650" s="79"/>
    </row>
    <row r="651" spans="1:2" ht="16.5">
      <c r="A651" s="79"/>
      <c r="B651" s="79"/>
    </row>
    <row r="652" spans="1:2" ht="16.5">
      <c r="A652" s="79"/>
      <c r="B652" s="79"/>
    </row>
    <row r="653" spans="1:2" ht="16.5">
      <c r="A653" s="79"/>
      <c r="B653" s="79"/>
    </row>
    <row r="654" spans="1:2" ht="16.5">
      <c r="A654" s="79"/>
      <c r="B654" s="79"/>
    </row>
    <row r="655" spans="1:2" ht="16.5">
      <c r="A655" s="79"/>
      <c r="B655" s="79"/>
    </row>
    <row r="656" spans="1:2" ht="16.5">
      <c r="A656" s="79"/>
      <c r="B656" s="79"/>
    </row>
    <row r="657" spans="1:2" ht="16.5">
      <c r="A657" s="79"/>
      <c r="B657" s="79"/>
    </row>
    <row r="658" spans="1:2" ht="16.5">
      <c r="A658" s="79"/>
      <c r="B658" s="79"/>
    </row>
    <row r="659" spans="1:2" ht="16.5">
      <c r="A659" s="79"/>
      <c r="B659" s="79"/>
    </row>
    <row r="660" spans="1:2" ht="16.5">
      <c r="A660" s="79"/>
      <c r="B660" s="79"/>
    </row>
    <row r="661" spans="1:2" ht="16.5">
      <c r="A661" s="79"/>
      <c r="B661" s="79"/>
    </row>
    <row r="662" spans="1:2" ht="16.5">
      <c r="A662" s="79"/>
      <c r="B662" s="79"/>
    </row>
    <row r="663" spans="1:2" ht="16.5">
      <c r="A663" s="79"/>
      <c r="B663" s="79"/>
    </row>
    <row r="664" spans="1:2" ht="16.5">
      <c r="A664" s="79"/>
      <c r="B664" s="79"/>
    </row>
    <row r="665" spans="1:2" ht="16.5">
      <c r="A665" s="79"/>
      <c r="B665" s="79"/>
    </row>
    <row r="666" spans="1:2" ht="16.5">
      <c r="A666" s="79"/>
      <c r="B666" s="79"/>
    </row>
    <row r="667" spans="1:2" ht="16.5">
      <c r="A667" s="79"/>
      <c r="B667" s="79"/>
    </row>
    <row r="668" spans="1:2" ht="16.5">
      <c r="A668" s="79"/>
      <c r="B668" s="79"/>
    </row>
    <row r="669" spans="1:2" ht="16.5">
      <c r="A669" s="79"/>
      <c r="B669" s="79"/>
    </row>
    <row r="670" spans="1:2" ht="16.5">
      <c r="A670" s="79"/>
      <c r="B670" s="79"/>
    </row>
    <row r="671" spans="1:2" ht="16.5">
      <c r="A671" s="79"/>
      <c r="B671" s="79"/>
    </row>
    <row r="672" spans="1:2" ht="16.5">
      <c r="A672" s="79"/>
      <c r="B672" s="79"/>
    </row>
    <row r="673" spans="1:2" ht="16.5">
      <c r="A673" s="79"/>
      <c r="B673" s="79"/>
    </row>
    <row r="674" spans="1:2" ht="16.5">
      <c r="A674" s="79"/>
      <c r="B674" s="79"/>
    </row>
    <row r="675" spans="1:2" ht="16.5">
      <c r="A675" s="79"/>
      <c r="B675" s="79"/>
    </row>
    <row r="676" spans="1:2" ht="16.5">
      <c r="A676" s="79"/>
      <c r="B676" s="79"/>
    </row>
    <row r="677" spans="1:2" ht="16.5">
      <c r="A677" s="79"/>
      <c r="B677" s="79"/>
    </row>
    <row r="678" spans="1:2" ht="16.5">
      <c r="A678" s="79"/>
      <c r="B678" s="79"/>
    </row>
    <row r="679" spans="1:2" ht="16.5">
      <c r="A679" s="79"/>
      <c r="B679" s="79"/>
    </row>
    <row r="680" spans="1:2" ht="16.5">
      <c r="A680" s="79"/>
      <c r="B680" s="79"/>
    </row>
    <row r="681" spans="1:2" ht="16.5">
      <c r="A681" s="79"/>
      <c r="B681" s="79"/>
    </row>
    <row r="682" spans="1:2" ht="16.5">
      <c r="A682" s="79"/>
      <c r="B682" s="79"/>
    </row>
    <row r="683" spans="1:2" ht="16.5">
      <c r="A683" s="79"/>
      <c r="B683" s="79"/>
    </row>
    <row r="684" spans="1:2" ht="16.5">
      <c r="A684" s="79"/>
      <c r="B684" s="79"/>
    </row>
    <row r="685" spans="1:2" ht="16.5">
      <c r="A685" s="79"/>
      <c r="B685" s="79"/>
    </row>
    <row r="686" spans="1:2" ht="16.5">
      <c r="A686" s="79"/>
      <c r="B686" s="79"/>
    </row>
    <row r="687" spans="1:2" ht="16.5">
      <c r="A687" s="79"/>
      <c r="B687" s="79"/>
    </row>
    <row r="688" spans="1:2" ht="16.5">
      <c r="A688" s="79"/>
      <c r="B688" s="79"/>
    </row>
    <row r="689" spans="1:2" ht="16.5">
      <c r="A689" s="79"/>
      <c r="B689" s="79"/>
    </row>
    <row r="690" spans="1:2" ht="16.5">
      <c r="A690" s="79"/>
      <c r="B690" s="79"/>
    </row>
    <row r="691" spans="1:2" ht="16.5">
      <c r="A691" s="79"/>
      <c r="B691" s="79"/>
    </row>
    <row r="692" spans="1:2" ht="16.5">
      <c r="A692" s="79"/>
      <c r="B692" s="79"/>
    </row>
    <row r="693" spans="1:2" ht="16.5">
      <c r="A693" s="79"/>
      <c r="B693" s="79"/>
    </row>
    <row r="694" spans="1:2" ht="16.5">
      <c r="A694" s="79"/>
      <c r="B694" s="79"/>
    </row>
    <row r="695" spans="1:2" ht="16.5">
      <c r="A695" s="79"/>
      <c r="B695" s="79"/>
    </row>
    <row r="696" spans="1:2" ht="16.5">
      <c r="A696" s="79"/>
      <c r="B696" s="79"/>
    </row>
    <row r="697" spans="1:2" ht="16.5">
      <c r="A697" s="79"/>
      <c r="B697" s="79"/>
    </row>
    <row r="698" spans="1:2" ht="16.5">
      <c r="A698" s="79"/>
      <c r="B698" s="79"/>
    </row>
    <row r="699" spans="1:2" ht="16.5">
      <c r="A699" s="79"/>
      <c r="B699" s="79"/>
    </row>
    <row r="700" spans="1:2" ht="16.5">
      <c r="A700" s="79"/>
      <c r="B700" s="79"/>
    </row>
    <row r="701" spans="1:2" ht="16.5">
      <c r="A701" s="79"/>
      <c r="B701" s="79"/>
    </row>
    <row r="702" spans="1:2" ht="16.5">
      <c r="A702" s="79"/>
      <c r="B702" s="79"/>
    </row>
    <row r="703" spans="1:2" ht="16.5">
      <c r="A703" s="79"/>
      <c r="B703" s="79"/>
    </row>
    <row r="704" spans="1:2" ht="16.5">
      <c r="A704" s="79"/>
      <c r="B704" s="79"/>
    </row>
    <row r="705" spans="1:2" ht="16.5">
      <c r="A705" s="79"/>
      <c r="B705" s="79"/>
    </row>
    <row r="706" spans="1:2" ht="16.5">
      <c r="A706" s="79"/>
      <c r="B706" s="79"/>
    </row>
    <row r="707" spans="1:2" ht="16.5">
      <c r="A707" s="79"/>
      <c r="B707" s="79"/>
    </row>
    <row r="708" spans="1:2" ht="16.5">
      <c r="A708" s="79"/>
      <c r="B708" s="79"/>
    </row>
    <row r="709" spans="1:2" ht="16.5">
      <c r="A709" s="79"/>
      <c r="B709" s="79"/>
    </row>
    <row r="710" spans="1:2" ht="16.5">
      <c r="A710" s="79"/>
      <c r="B710" s="79"/>
    </row>
    <row r="711" spans="1:2" ht="16.5">
      <c r="A711" s="79"/>
      <c r="B711" s="79"/>
    </row>
    <row r="712" spans="1:2" ht="16.5">
      <c r="A712" s="79"/>
      <c r="B712" s="79"/>
    </row>
    <row r="713" spans="1:2" ht="16.5">
      <c r="A713" s="79"/>
      <c r="B713" s="79"/>
    </row>
    <row r="714" spans="1:2" ht="16.5">
      <c r="A714" s="79"/>
      <c r="B714" s="79"/>
    </row>
    <row r="715" spans="1:2" ht="16.5">
      <c r="A715" s="79"/>
      <c r="B715" s="79"/>
    </row>
    <row r="716" spans="1:2" ht="16.5">
      <c r="A716" s="79"/>
      <c r="B716" s="79"/>
    </row>
    <row r="717" spans="1:2" ht="16.5">
      <c r="A717" s="79"/>
      <c r="B717" s="79"/>
    </row>
    <row r="718" spans="1:2" ht="16.5">
      <c r="A718" s="79"/>
      <c r="B718" s="79"/>
    </row>
    <row r="719" spans="1:2" ht="16.5">
      <c r="A719" s="79"/>
      <c r="B719" s="79"/>
    </row>
    <row r="720" spans="1:2" ht="16.5">
      <c r="A720" s="79"/>
      <c r="B720" s="79"/>
    </row>
    <row r="721" spans="1:2" ht="16.5">
      <c r="A721" s="79"/>
      <c r="B721" s="79"/>
    </row>
    <row r="722" spans="1:2" ht="16.5">
      <c r="A722" s="79"/>
      <c r="B722" s="79"/>
    </row>
    <row r="723" spans="1:2" ht="16.5">
      <c r="A723" s="79"/>
      <c r="B723" s="79"/>
    </row>
    <row r="724" spans="1:2" ht="16.5">
      <c r="A724" s="79"/>
      <c r="B724" s="79"/>
    </row>
    <row r="725" spans="1:2" ht="16.5">
      <c r="A725" s="79"/>
      <c r="B725" s="79"/>
    </row>
    <row r="726" spans="1:2" ht="16.5">
      <c r="A726" s="79"/>
      <c r="B726" s="79"/>
    </row>
    <row r="727" spans="1:2" ht="16.5">
      <c r="A727" s="79"/>
      <c r="B727" s="79"/>
    </row>
    <row r="728" spans="1:2" ht="16.5">
      <c r="A728" s="79"/>
      <c r="B728" s="79"/>
    </row>
    <row r="729" spans="1:2" ht="16.5">
      <c r="A729" s="79"/>
      <c r="B729" s="79"/>
    </row>
    <row r="730" spans="1:2" ht="16.5">
      <c r="A730" s="79"/>
      <c r="B730" s="79"/>
    </row>
    <row r="731" spans="1:2" ht="16.5">
      <c r="A731" s="79"/>
      <c r="B731" s="79"/>
    </row>
    <row r="732" spans="1:2" ht="16.5">
      <c r="A732" s="79"/>
      <c r="B732" s="79"/>
    </row>
    <row r="733" spans="1:2" ht="16.5">
      <c r="A733" s="79"/>
      <c r="B733" s="79"/>
    </row>
    <row r="734" spans="1:2" ht="16.5">
      <c r="A734" s="79"/>
      <c r="B734" s="79"/>
    </row>
    <row r="735" spans="1:2" ht="16.5">
      <c r="A735" s="79"/>
      <c r="B735" s="79"/>
    </row>
    <row r="736" spans="1:2" ht="16.5">
      <c r="A736" s="79"/>
      <c r="B736" s="79"/>
    </row>
    <row r="737" spans="1:2" ht="16.5">
      <c r="A737" s="79"/>
      <c r="B737" s="79"/>
    </row>
    <row r="738" spans="1:2" ht="16.5">
      <c r="A738" s="79"/>
      <c r="B738" s="79"/>
    </row>
    <row r="739" spans="1:2" ht="16.5">
      <c r="A739" s="79"/>
      <c r="B739" s="79"/>
    </row>
    <row r="740" spans="1:2" ht="16.5">
      <c r="A740" s="79"/>
      <c r="B740" s="79"/>
    </row>
    <row r="741" spans="1:2" ht="16.5">
      <c r="A741" s="79"/>
      <c r="B741" s="79"/>
    </row>
    <row r="742" spans="1:2" ht="16.5">
      <c r="A742" s="79"/>
      <c r="B742" s="79"/>
    </row>
    <row r="743" spans="1:2" ht="16.5">
      <c r="A743" s="79"/>
      <c r="B743" s="79"/>
    </row>
    <row r="744" spans="1:2" ht="16.5">
      <c r="A744" s="79"/>
      <c r="B744" s="79"/>
    </row>
    <row r="745" spans="1:2" ht="16.5">
      <c r="A745" s="79"/>
      <c r="B745" s="79"/>
    </row>
    <row r="746" spans="1:2" ht="16.5">
      <c r="A746" s="79"/>
      <c r="B746" s="79"/>
    </row>
    <row r="747" spans="1:2" ht="16.5">
      <c r="A747" s="79"/>
      <c r="B747" s="79"/>
    </row>
    <row r="748" spans="1:2" ht="16.5">
      <c r="A748" s="79"/>
      <c r="B748" s="79"/>
    </row>
    <row r="749" spans="1:2" ht="16.5">
      <c r="A749" s="79"/>
      <c r="B749" s="79"/>
    </row>
    <row r="750" spans="1:2" ht="16.5">
      <c r="A750" s="79"/>
      <c r="B750" s="79"/>
    </row>
    <row r="751" spans="1:2" ht="16.5">
      <c r="A751" s="79"/>
      <c r="B751" s="79"/>
    </row>
    <row r="752" spans="1:2" ht="16.5">
      <c r="A752" s="79"/>
      <c r="B752" s="79"/>
    </row>
    <row r="753" spans="1:2" ht="16.5">
      <c r="A753" s="79"/>
      <c r="B753" s="79"/>
    </row>
    <row r="754" spans="1:2" ht="16.5">
      <c r="A754" s="79"/>
      <c r="B754" s="79"/>
    </row>
    <row r="755" spans="1:2" ht="16.5">
      <c r="A755" s="79"/>
      <c r="B755" s="79"/>
    </row>
    <row r="756" spans="1:2" ht="16.5">
      <c r="A756" s="79"/>
      <c r="B756" s="79"/>
    </row>
    <row r="757" spans="1:2" ht="16.5">
      <c r="A757" s="79"/>
      <c r="B757" s="79"/>
    </row>
    <row r="758" spans="1:2" ht="16.5">
      <c r="A758" s="79"/>
      <c r="B758" s="79"/>
    </row>
    <row r="759" spans="1:2" ht="16.5">
      <c r="A759" s="79"/>
      <c r="B759" s="79"/>
    </row>
    <row r="760" spans="1:2" ht="16.5">
      <c r="A760" s="79"/>
      <c r="B760" s="79"/>
    </row>
    <row r="761" spans="1:2" ht="16.5">
      <c r="A761" s="79"/>
      <c r="B761" s="79"/>
    </row>
    <row r="762" spans="1:2" ht="16.5">
      <c r="A762" s="79"/>
      <c r="B762" s="79"/>
    </row>
    <row r="763" spans="1:2" ht="16.5">
      <c r="A763" s="79"/>
      <c r="B763" s="79"/>
    </row>
    <row r="764" spans="1:2" ht="16.5">
      <c r="A764" s="79"/>
      <c r="B764" s="79"/>
    </row>
    <row r="765" spans="1:2" ht="16.5">
      <c r="A765" s="79"/>
      <c r="B765" s="79"/>
    </row>
    <row r="766" spans="1:2" ht="16.5">
      <c r="A766" s="79"/>
      <c r="B766" s="79"/>
    </row>
    <row r="767" spans="1:2" ht="16.5">
      <c r="A767" s="79"/>
      <c r="B767" s="79"/>
    </row>
    <row r="768" spans="1:2" ht="16.5">
      <c r="A768" s="79"/>
      <c r="B768" s="79"/>
    </row>
    <row r="769" spans="1:2" ht="16.5">
      <c r="A769" s="79"/>
      <c r="B769" s="79"/>
    </row>
    <row r="770" spans="1:2" ht="16.5">
      <c r="A770" s="79"/>
      <c r="B770" s="79"/>
    </row>
    <row r="771" spans="1:2" ht="16.5">
      <c r="A771" s="79"/>
      <c r="B771" s="79"/>
    </row>
    <row r="772" spans="1:2" ht="16.5">
      <c r="A772" s="79"/>
      <c r="B772" s="79"/>
    </row>
    <row r="773" spans="1:2" ht="16.5">
      <c r="A773" s="79"/>
      <c r="B773" s="79"/>
    </row>
    <row r="774" spans="1:2" ht="16.5">
      <c r="A774" s="79"/>
      <c r="B774" s="79"/>
    </row>
    <row r="775" spans="1:2" ht="16.5">
      <c r="A775" s="79"/>
      <c r="B775" s="79"/>
    </row>
    <row r="776" spans="1:2" ht="16.5">
      <c r="A776" s="79"/>
      <c r="B776" s="79"/>
    </row>
    <row r="777" spans="1:2" ht="16.5">
      <c r="A777" s="79"/>
      <c r="B777" s="79"/>
    </row>
    <row r="778" spans="1:2" ht="16.5">
      <c r="A778" s="79"/>
      <c r="B778" s="79"/>
    </row>
    <row r="779" spans="1:2" ht="16.5">
      <c r="A779" s="79"/>
      <c r="B779" s="79"/>
    </row>
    <row r="780" spans="1:2" ht="16.5">
      <c r="A780" s="79"/>
      <c r="B780" s="79"/>
    </row>
    <row r="781" spans="1:2" ht="16.5">
      <c r="A781" s="79"/>
      <c r="B781" s="79"/>
    </row>
    <row r="782" spans="1:2" ht="16.5">
      <c r="A782" s="79"/>
      <c r="B782" s="79"/>
    </row>
    <row r="783" spans="1:2" ht="16.5">
      <c r="A783" s="79"/>
      <c r="B783" s="79"/>
    </row>
    <row r="784" spans="1:2" ht="16.5">
      <c r="A784" s="79"/>
      <c r="B784" s="79"/>
    </row>
    <row r="785" spans="1:2" ht="16.5">
      <c r="A785" s="79"/>
      <c r="B785" s="79"/>
    </row>
    <row r="786" spans="1:2" ht="16.5">
      <c r="A786" s="79"/>
      <c r="B786" s="79"/>
    </row>
    <row r="787" spans="1:2" ht="16.5">
      <c r="A787" s="79"/>
      <c r="B787" s="79"/>
    </row>
    <row r="788" spans="1:2" ht="16.5">
      <c r="A788" s="79"/>
      <c r="B788" s="79"/>
    </row>
    <row r="789" spans="1:2" ht="16.5">
      <c r="A789" s="79"/>
      <c r="B789" s="79"/>
    </row>
    <row r="790" spans="1:2" ht="16.5">
      <c r="A790" s="79"/>
      <c r="B790" s="79"/>
    </row>
    <row r="791" spans="1:2" ht="16.5">
      <c r="A791" s="79"/>
      <c r="B791" s="79"/>
    </row>
    <row r="792" spans="1:2" ht="16.5">
      <c r="A792" s="79"/>
      <c r="B792" s="79"/>
    </row>
    <row r="793" spans="1:2" ht="16.5">
      <c r="A793" s="79"/>
      <c r="B793" s="79"/>
    </row>
    <row r="794" spans="1:2" ht="16.5">
      <c r="A794" s="79"/>
      <c r="B794" s="79"/>
    </row>
    <row r="795" spans="1:2" ht="16.5">
      <c r="A795" s="79"/>
      <c r="B795" s="79"/>
    </row>
    <row r="796" spans="1:2" ht="16.5">
      <c r="A796" s="79"/>
      <c r="B796" s="79"/>
    </row>
    <row r="797" spans="1:2" ht="16.5">
      <c r="A797" s="79"/>
      <c r="B797" s="79"/>
    </row>
    <row r="798" spans="1:2" ht="16.5">
      <c r="A798" s="79"/>
      <c r="B798" s="79"/>
    </row>
    <row r="799" spans="1:2" ht="16.5">
      <c r="A799" s="79"/>
      <c r="B799" s="79"/>
    </row>
    <row r="800" spans="1:2" ht="16.5">
      <c r="A800" s="79"/>
      <c r="B800" s="79"/>
    </row>
    <row r="801" spans="1:2" ht="16.5">
      <c r="A801" s="79"/>
      <c r="B801" s="79"/>
    </row>
    <row r="802" spans="1:2" ht="16.5">
      <c r="A802" s="79"/>
      <c r="B802" s="79"/>
    </row>
    <row r="803" spans="1:2" ht="16.5">
      <c r="A803" s="79"/>
      <c r="B803" s="79"/>
    </row>
    <row r="804" spans="1:2" ht="16.5">
      <c r="A804" s="79"/>
      <c r="B804" s="79"/>
    </row>
    <row r="805" spans="1:2" ht="16.5">
      <c r="A805" s="79"/>
      <c r="B805" s="79"/>
    </row>
    <row r="806" spans="1:2" ht="16.5">
      <c r="A806" s="79"/>
      <c r="B806" s="79"/>
    </row>
    <row r="807" spans="1:2" ht="16.5">
      <c r="A807" s="79"/>
      <c r="B807" s="79"/>
    </row>
    <row r="808" spans="1:2" ht="16.5">
      <c r="A808" s="79"/>
      <c r="B808" s="79"/>
    </row>
    <row r="809" spans="1:2" ht="16.5">
      <c r="A809" s="79"/>
      <c r="B809" s="79"/>
    </row>
    <row r="810" spans="1:2" ht="16.5">
      <c r="A810" s="79"/>
      <c r="B810" s="79"/>
    </row>
    <row r="811" spans="1:2" ht="16.5">
      <c r="A811" s="79"/>
      <c r="B811" s="79"/>
    </row>
    <row r="812" spans="1:2" ht="16.5">
      <c r="A812" s="79"/>
      <c r="B812" s="79"/>
    </row>
    <row r="813" spans="1:2" ht="16.5">
      <c r="A813" s="79"/>
      <c r="B813" s="79"/>
    </row>
    <row r="814" spans="1:2" ht="16.5">
      <c r="A814" s="79"/>
      <c r="B814" s="79"/>
    </row>
    <row r="815" spans="1:2" ht="16.5">
      <c r="A815" s="79"/>
      <c r="B815" s="79"/>
    </row>
    <row r="816" spans="1:2" ht="16.5">
      <c r="A816" s="79"/>
      <c r="B816" s="79"/>
    </row>
    <row r="817" spans="1:2" ht="16.5">
      <c r="A817" s="79"/>
      <c r="B817" s="79"/>
    </row>
    <row r="818" spans="1:2" ht="16.5">
      <c r="A818" s="79"/>
      <c r="B818" s="79"/>
    </row>
    <row r="819" spans="1:2" ht="16.5">
      <c r="A819" s="79"/>
      <c r="B819" s="79"/>
    </row>
    <row r="820" spans="1:2" ht="16.5">
      <c r="A820" s="79"/>
      <c r="B820" s="79"/>
    </row>
    <row r="821" spans="1:2" ht="16.5">
      <c r="A821" s="79"/>
      <c r="B821" s="79"/>
    </row>
    <row r="822" spans="1:2" ht="16.5">
      <c r="A822" s="79"/>
      <c r="B822" s="79"/>
    </row>
    <row r="823" spans="1:2" ht="16.5">
      <c r="A823" s="79"/>
      <c r="B823" s="79"/>
    </row>
    <row r="824" spans="1:2" ht="16.5">
      <c r="A824" s="79"/>
      <c r="B824" s="79"/>
    </row>
    <row r="825" spans="1:2" ht="16.5">
      <c r="A825" s="79"/>
      <c r="B825" s="79"/>
    </row>
    <row r="826" spans="1:2" ht="16.5">
      <c r="A826" s="79"/>
      <c r="B826" s="79"/>
    </row>
    <row r="827" spans="1:2" ht="16.5">
      <c r="A827" s="79"/>
      <c r="B827" s="79"/>
    </row>
    <row r="828" spans="1:2" ht="16.5">
      <c r="A828" s="79"/>
      <c r="B828" s="79"/>
    </row>
    <row r="829" spans="1:2" ht="16.5">
      <c r="A829" s="79"/>
      <c r="B829" s="79"/>
    </row>
    <row r="830" spans="1:2" ht="16.5">
      <c r="A830" s="79"/>
      <c r="B830" s="79"/>
    </row>
    <row r="831" spans="1:2" ht="16.5">
      <c r="A831" s="79"/>
      <c r="B831" s="79"/>
    </row>
    <row r="832" spans="1:2" ht="16.5">
      <c r="A832" s="79"/>
      <c r="B832" s="79"/>
    </row>
    <row r="833" spans="1:2" ht="16.5">
      <c r="A833" s="79"/>
      <c r="B833" s="79"/>
    </row>
    <row r="834" spans="1:2" ht="16.5">
      <c r="A834" s="79"/>
      <c r="B834" s="79"/>
    </row>
    <row r="835" spans="1:2" ht="16.5">
      <c r="A835" s="79"/>
      <c r="B835" s="79"/>
    </row>
    <row r="836" spans="1:2" ht="16.5">
      <c r="A836" s="79"/>
      <c r="B836" s="79"/>
    </row>
    <row r="837" spans="1:2" ht="16.5">
      <c r="A837" s="79"/>
      <c r="B837" s="79"/>
    </row>
    <row r="838" spans="1:2" ht="16.5">
      <c r="A838" s="79"/>
      <c r="B838" s="79"/>
    </row>
    <row r="839" spans="1:2" ht="16.5">
      <c r="A839" s="79"/>
      <c r="B839" s="79"/>
    </row>
    <row r="840" spans="1:2" ht="16.5">
      <c r="A840" s="79"/>
      <c r="B840" s="79"/>
    </row>
    <row r="841" spans="1:2" ht="16.5">
      <c r="A841" s="79"/>
      <c r="B841" s="79"/>
    </row>
    <row r="842" spans="1:2" ht="16.5">
      <c r="A842" s="79"/>
      <c r="B842" s="79"/>
    </row>
    <row r="843" spans="1:2" ht="16.5">
      <c r="A843" s="79"/>
      <c r="B843" s="79"/>
    </row>
    <row r="844" spans="1:2" ht="16.5">
      <c r="A844" s="79"/>
      <c r="B844" s="79"/>
    </row>
    <row r="845" spans="1:2" ht="16.5">
      <c r="A845" s="79"/>
      <c r="B845" s="79"/>
    </row>
    <row r="846" spans="1:2" ht="16.5">
      <c r="A846" s="79"/>
      <c r="B846" s="79"/>
    </row>
    <row r="847" spans="1:2" ht="16.5">
      <c r="A847" s="79"/>
      <c r="B847" s="79"/>
    </row>
    <row r="848" spans="1:2" ht="16.5">
      <c r="A848" s="79"/>
      <c r="B848" s="79"/>
    </row>
    <row r="849" spans="1:2" ht="16.5">
      <c r="A849" s="79"/>
      <c r="B849" s="79"/>
    </row>
    <row r="850" spans="1:2" ht="16.5">
      <c r="A850" s="79"/>
      <c r="B850" s="79"/>
    </row>
    <row r="851" spans="1:2" ht="16.5">
      <c r="A851" s="79"/>
      <c r="B851" s="79"/>
    </row>
    <row r="852" spans="1:2" ht="16.5">
      <c r="A852" s="79"/>
      <c r="B852" s="79"/>
    </row>
    <row r="853" spans="1:2" ht="16.5">
      <c r="A853" s="79"/>
      <c r="B853" s="79"/>
    </row>
    <row r="854" spans="1:2" ht="16.5">
      <c r="A854" s="79"/>
      <c r="B854" s="79"/>
    </row>
    <row r="855" spans="1:2" ht="16.5">
      <c r="A855" s="79"/>
      <c r="B855" s="79"/>
    </row>
    <row r="856" spans="1:2" ht="16.5">
      <c r="A856" s="79"/>
      <c r="B856" s="79"/>
    </row>
    <row r="857" spans="1:2" ht="16.5">
      <c r="A857" s="79"/>
      <c r="B857" s="79"/>
    </row>
    <row r="858" spans="1:2" ht="16.5">
      <c r="A858" s="79"/>
      <c r="B858" s="79"/>
    </row>
    <row r="859" spans="1:2" ht="16.5">
      <c r="A859" s="79"/>
      <c r="B859" s="79"/>
    </row>
    <row r="860" spans="1:2" ht="16.5">
      <c r="A860" s="79"/>
      <c r="B860" s="79"/>
    </row>
    <row r="861" spans="1:2" ht="16.5">
      <c r="A861" s="79"/>
      <c r="B861" s="79"/>
    </row>
    <row r="862" spans="1:2" ht="16.5">
      <c r="A862" s="79"/>
      <c r="B862" s="79"/>
    </row>
    <row r="863" spans="1:2" ht="16.5">
      <c r="A863" s="79"/>
      <c r="B863" s="79"/>
    </row>
    <row r="864" spans="1:2" ht="16.5">
      <c r="A864" s="79"/>
      <c r="B864" s="79"/>
    </row>
    <row r="865" spans="1:2" ht="16.5">
      <c r="A865" s="79"/>
      <c r="B865" s="79"/>
    </row>
    <row r="866" spans="1:2" ht="16.5">
      <c r="A866" s="79"/>
      <c r="B866" s="79"/>
    </row>
    <row r="867" spans="1:2" ht="16.5">
      <c r="A867" s="79"/>
      <c r="B867" s="79"/>
    </row>
    <row r="868" spans="1:2" ht="16.5">
      <c r="A868" s="79"/>
      <c r="B868" s="79"/>
    </row>
    <row r="869" spans="1:2" ht="16.5">
      <c r="A869" s="79"/>
      <c r="B869" s="79"/>
    </row>
    <row r="870" spans="1:2" ht="16.5">
      <c r="A870" s="79"/>
      <c r="B870" s="79"/>
    </row>
    <row r="871" spans="1:2" ht="16.5">
      <c r="A871" s="79"/>
      <c r="B871" s="79"/>
    </row>
    <row r="872" spans="1:2" ht="16.5">
      <c r="A872" s="79"/>
      <c r="B872" s="79"/>
    </row>
    <row r="873" spans="1:2" ht="16.5">
      <c r="A873" s="79"/>
      <c r="B873" s="79"/>
    </row>
    <row r="874" spans="1:2" ht="16.5">
      <c r="A874" s="79"/>
      <c r="B874" s="79"/>
    </row>
    <row r="875" spans="1:2" ht="16.5">
      <c r="A875" s="79"/>
      <c r="B875" s="79"/>
    </row>
    <row r="876" spans="1:2" ht="16.5">
      <c r="A876" s="79"/>
      <c r="B876" s="79"/>
    </row>
    <row r="877" spans="1:2" ht="16.5">
      <c r="A877" s="79"/>
      <c r="B877" s="79"/>
    </row>
    <row r="878" spans="1:2" ht="16.5">
      <c r="A878" s="79"/>
      <c r="B878" s="79"/>
    </row>
    <row r="879" spans="1:2" ht="16.5">
      <c r="A879" s="79"/>
      <c r="B879" s="79"/>
    </row>
    <row r="880" spans="1:2" ht="16.5">
      <c r="A880" s="79"/>
      <c r="B880" s="79"/>
    </row>
    <row r="881" spans="1:2" ht="16.5">
      <c r="A881" s="79"/>
      <c r="B881" s="79"/>
    </row>
    <row r="882" spans="1:2" ht="16.5">
      <c r="A882" s="79"/>
      <c r="B882" s="79"/>
    </row>
    <row r="883" spans="1:2" ht="16.5">
      <c r="A883" s="79"/>
      <c r="B883" s="79"/>
    </row>
    <row r="884" spans="1:2" ht="16.5">
      <c r="A884" s="79"/>
      <c r="B884" s="79"/>
    </row>
    <row r="885" spans="1:2" ht="16.5">
      <c r="A885" s="79"/>
      <c r="B885" s="79"/>
    </row>
    <row r="886" spans="1:2" ht="16.5">
      <c r="A886" s="79"/>
      <c r="B886" s="79"/>
    </row>
    <row r="887" spans="1:2" ht="16.5">
      <c r="A887" s="79"/>
      <c r="B887" s="79"/>
    </row>
    <row r="888" spans="1:2" ht="16.5">
      <c r="A888" s="79"/>
      <c r="B888" s="79"/>
    </row>
    <row r="889" spans="1:2" ht="16.5">
      <c r="A889" s="79"/>
      <c r="B889" s="79"/>
    </row>
    <row r="890" spans="1:2" ht="16.5">
      <c r="A890" s="79"/>
      <c r="B890" s="79"/>
    </row>
    <row r="891" spans="1:2" ht="16.5">
      <c r="A891" s="79"/>
      <c r="B891" s="79"/>
    </row>
    <row r="892" spans="1:2" ht="16.5">
      <c r="A892" s="79"/>
      <c r="B892" s="79"/>
    </row>
    <row r="893" spans="1:2" ht="16.5">
      <c r="A893" s="79"/>
      <c r="B893" s="79"/>
    </row>
    <row r="894" spans="1:2" ht="16.5">
      <c r="A894" s="79"/>
      <c r="B894" s="79"/>
    </row>
    <row r="895" spans="1:2" ht="16.5">
      <c r="A895" s="79"/>
      <c r="B895" s="79"/>
    </row>
    <row r="896" spans="1:2" ht="16.5">
      <c r="A896" s="79"/>
      <c r="B896" s="79"/>
    </row>
    <row r="897" spans="1:2" ht="16.5">
      <c r="A897" s="79"/>
      <c r="B897" s="79"/>
    </row>
    <row r="898" spans="1:2" ht="16.5">
      <c r="A898" s="79"/>
      <c r="B898" s="79"/>
    </row>
    <row r="899" spans="1:2" ht="16.5">
      <c r="A899" s="79"/>
      <c r="B899" s="79"/>
    </row>
    <row r="900" spans="1:2" ht="16.5">
      <c r="A900" s="79"/>
      <c r="B900" s="79"/>
    </row>
    <row r="901" spans="1:2" ht="16.5">
      <c r="A901" s="79"/>
      <c r="B901" s="79"/>
    </row>
    <row r="902" spans="1:2" ht="16.5">
      <c r="A902" s="79"/>
      <c r="B902" s="79"/>
    </row>
    <row r="903" spans="1:2" ht="16.5">
      <c r="A903" s="79"/>
      <c r="B903" s="79"/>
    </row>
    <row r="904" spans="1:2" ht="16.5">
      <c r="A904" s="79"/>
      <c r="B904" s="79"/>
    </row>
    <row r="905" spans="1:2" ht="16.5">
      <c r="A905" s="79"/>
      <c r="B905" s="79"/>
    </row>
    <row r="906" spans="1:2" ht="16.5">
      <c r="A906" s="79"/>
      <c r="B906" s="79"/>
    </row>
    <row r="907" spans="1:2" ht="16.5">
      <c r="A907" s="79"/>
      <c r="B907" s="79"/>
    </row>
    <row r="908" spans="1:2" ht="16.5">
      <c r="A908" s="79"/>
      <c r="B908" s="79"/>
    </row>
    <row r="909" spans="1:2" ht="16.5">
      <c r="A909" s="79"/>
      <c r="B909" s="79"/>
    </row>
    <row r="910" spans="1:2" ht="16.5">
      <c r="A910" s="79"/>
      <c r="B910" s="79"/>
    </row>
    <row r="911" spans="1:2" ht="16.5">
      <c r="A911" s="79"/>
      <c r="B911" s="79"/>
    </row>
    <row r="912" spans="1:2" ht="16.5">
      <c r="A912" s="79"/>
      <c r="B912" s="79"/>
    </row>
    <row r="913" spans="1:2" ht="16.5">
      <c r="A913" s="79"/>
      <c r="B913" s="79"/>
    </row>
    <row r="914" spans="1:2" ht="16.5">
      <c r="A914" s="79"/>
      <c r="B914" s="79"/>
    </row>
    <row r="915" spans="1:2" ht="16.5">
      <c r="A915" s="79"/>
      <c r="B915" s="79"/>
    </row>
    <row r="916" spans="1:2" ht="16.5">
      <c r="A916" s="79"/>
      <c r="B916" s="79"/>
    </row>
    <row r="917" spans="1:2" ht="16.5">
      <c r="A917" s="79"/>
      <c r="B917" s="79"/>
    </row>
    <row r="918" spans="1:2" ht="16.5">
      <c r="A918" s="79"/>
      <c r="B918" s="79"/>
    </row>
    <row r="919" spans="1:2" ht="16.5">
      <c r="A919" s="79"/>
      <c r="B919" s="79"/>
    </row>
    <row r="920" spans="1:2" ht="16.5">
      <c r="A920" s="79"/>
      <c r="B920" s="79"/>
    </row>
    <row r="921" spans="1:2" ht="16.5">
      <c r="A921" s="79"/>
      <c r="B921" s="79"/>
    </row>
    <row r="922" spans="1:2" ht="16.5">
      <c r="A922" s="79"/>
      <c r="B922" s="79"/>
    </row>
    <row r="923" spans="1:2" ht="16.5">
      <c r="A923" s="79"/>
      <c r="B923" s="79"/>
    </row>
    <row r="924" spans="1:2" ht="16.5">
      <c r="A924" s="79"/>
      <c r="B924" s="79"/>
    </row>
    <row r="925" spans="1:2" ht="16.5">
      <c r="A925" s="79"/>
      <c r="B925" s="79"/>
    </row>
    <row r="926" spans="1:2" ht="16.5">
      <c r="A926" s="79"/>
      <c r="B926" s="79"/>
    </row>
    <row r="927" spans="1:2" ht="16.5">
      <c r="A927" s="79"/>
      <c r="B927" s="79"/>
    </row>
    <row r="928" spans="1:2" ht="16.5">
      <c r="A928" s="79"/>
      <c r="B928" s="79"/>
    </row>
    <row r="929" spans="1:2" ht="16.5">
      <c r="A929" s="79"/>
      <c r="B929" s="79"/>
    </row>
    <row r="930" spans="1:2" ht="16.5">
      <c r="A930" s="79"/>
      <c r="B930" s="79"/>
    </row>
    <row r="931" spans="1:2" ht="16.5">
      <c r="A931" s="79"/>
      <c r="B931" s="79"/>
    </row>
    <row r="932" spans="1:2" ht="16.5">
      <c r="A932" s="79"/>
      <c r="B932" s="79"/>
    </row>
    <row r="933" spans="1:2" ht="16.5">
      <c r="A933" s="79"/>
      <c r="B933" s="79"/>
    </row>
    <row r="934" spans="1:2" ht="16.5">
      <c r="A934" s="79"/>
      <c r="B934" s="79"/>
    </row>
    <row r="935" spans="1:2" ht="16.5">
      <c r="A935" s="79"/>
      <c r="B935" s="79"/>
    </row>
    <row r="936" spans="1:2" ht="16.5">
      <c r="A936" s="79"/>
      <c r="B936" s="79"/>
    </row>
    <row r="937" spans="1:2" ht="16.5">
      <c r="A937" s="79"/>
      <c r="B937" s="79"/>
    </row>
    <row r="938" spans="1:2" ht="16.5">
      <c r="A938" s="79"/>
      <c r="B938" s="79"/>
    </row>
    <row r="939" spans="1:2" ht="16.5">
      <c r="A939" s="79"/>
      <c r="B939" s="79"/>
    </row>
    <row r="940" spans="1:2" ht="16.5">
      <c r="A940" s="79"/>
      <c r="B940" s="79"/>
    </row>
    <row r="941" spans="1:2" ht="16.5">
      <c r="A941" s="79"/>
      <c r="B941" s="79"/>
    </row>
    <row r="942" spans="1:2" ht="16.5">
      <c r="A942" s="79"/>
      <c r="B942" s="79"/>
    </row>
    <row r="943" spans="1:2" ht="16.5">
      <c r="A943" s="79"/>
      <c r="B943" s="79"/>
    </row>
    <row r="944" spans="1:2" ht="16.5">
      <c r="A944" s="79"/>
      <c r="B944" s="79"/>
    </row>
    <row r="945" spans="1:2" ht="16.5">
      <c r="A945" s="79"/>
      <c r="B945" s="79"/>
    </row>
    <row r="946" spans="1:2" ht="16.5">
      <c r="A946" s="79"/>
      <c r="B946" s="79"/>
    </row>
    <row r="947" spans="1:2" ht="16.5">
      <c r="A947" s="79"/>
      <c r="B947" s="79"/>
    </row>
    <row r="948" spans="1:2" ht="16.5">
      <c r="A948" s="79"/>
      <c r="B948" s="79"/>
    </row>
    <row r="949" spans="1:2" ht="16.5">
      <c r="A949" s="79"/>
      <c r="B949" s="79"/>
    </row>
    <row r="950" spans="1:2" ht="16.5">
      <c r="A950" s="79"/>
      <c r="B950" s="79"/>
    </row>
    <row r="951" spans="1:2" ht="16.5">
      <c r="A951" s="79"/>
      <c r="B951" s="79"/>
    </row>
    <row r="952" spans="1:2" ht="16.5">
      <c r="A952" s="79"/>
      <c r="B952" s="79"/>
    </row>
    <row r="953" spans="1:2" ht="16.5">
      <c r="A953" s="79"/>
      <c r="B953" s="79"/>
    </row>
    <row r="954" spans="1:2" ht="16.5">
      <c r="A954" s="79"/>
      <c r="B954" s="79"/>
    </row>
    <row r="955" spans="1:2" ht="16.5">
      <c r="A955" s="79"/>
      <c r="B955" s="79"/>
    </row>
    <row r="956" spans="1:2" ht="16.5">
      <c r="A956" s="79"/>
      <c r="B956" s="79"/>
    </row>
    <row r="957" spans="1:2" ht="16.5">
      <c r="A957" s="79"/>
      <c r="B957" s="79"/>
    </row>
    <row r="958" spans="1:2" ht="16.5">
      <c r="A958" s="79"/>
      <c r="B958" s="79"/>
    </row>
    <row r="959" spans="1:2" ht="16.5">
      <c r="A959" s="79"/>
      <c r="B959" s="79"/>
    </row>
    <row r="960" spans="1:2" ht="16.5">
      <c r="A960" s="79"/>
      <c r="B960" s="79"/>
    </row>
    <row r="961" spans="1:2" ht="16.5">
      <c r="A961" s="79"/>
      <c r="B961" s="79"/>
    </row>
    <row r="962" spans="1:2" ht="16.5">
      <c r="A962" s="79"/>
      <c r="B962" s="79"/>
    </row>
    <row r="963" spans="1:2" ht="16.5">
      <c r="A963" s="79"/>
      <c r="B963" s="79"/>
    </row>
    <row r="964" spans="1:2" ht="16.5">
      <c r="A964" s="79"/>
      <c r="B964" s="79"/>
    </row>
    <row r="965" spans="1:2" ht="16.5">
      <c r="A965" s="79"/>
      <c r="B965" s="79"/>
    </row>
    <row r="966" spans="1:2" ht="16.5">
      <c r="A966" s="79"/>
      <c r="B966" s="79"/>
    </row>
    <row r="967" spans="1:2" ht="16.5">
      <c r="A967" s="79"/>
      <c r="B967" s="79"/>
    </row>
    <row r="968" spans="1:2" ht="16.5">
      <c r="A968" s="79"/>
      <c r="B968" s="79"/>
    </row>
    <row r="969" spans="1:2" ht="16.5">
      <c r="A969" s="79"/>
      <c r="B969" s="79"/>
    </row>
    <row r="970" spans="1:2" ht="16.5">
      <c r="A970" s="79"/>
      <c r="B970" s="79"/>
    </row>
    <row r="971" spans="1:2" ht="16.5">
      <c r="A971" s="79"/>
      <c r="B971" s="79"/>
    </row>
    <row r="972" spans="1:2" ht="16.5">
      <c r="A972" s="79"/>
      <c r="B972" s="79"/>
    </row>
    <row r="973" spans="1:2" ht="16.5">
      <c r="A973" s="79"/>
      <c r="B973" s="79"/>
    </row>
    <row r="974" spans="1:2" ht="16.5">
      <c r="A974" s="79"/>
      <c r="B974" s="79"/>
    </row>
    <row r="975" spans="1:2" ht="16.5">
      <c r="A975" s="79"/>
      <c r="B975" s="79"/>
    </row>
    <row r="976" spans="1:2" ht="16.5">
      <c r="A976" s="79"/>
      <c r="B976" s="79"/>
    </row>
    <row r="977" spans="1:2" ht="16.5">
      <c r="A977" s="79"/>
      <c r="B977" s="79"/>
    </row>
    <row r="978" spans="1:2" ht="16.5">
      <c r="A978" s="79"/>
      <c r="B978" s="79"/>
    </row>
    <row r="979" spans="1:2" ht="16.5">
      <c r="A979" s="79"/>
      <c r="B979" s="79"/>
    </row>
    <row r="980" spans="1:2" ht="16.5">
      <c r="A980" s="79"/>
      <c r="B980" s="79"/>
    </row>
    <row r="981" spans="1:2" ht="16.5">
      <c r="A981" s="79"/>
      <c r="B981" s="79"/>
    </row>
    <row r="982" spans="1:2" ht="16.5">
      <c r="A982" s="79"/>
      <c r="B982" s="79"/>
    </row>
    <row r="983" spans="1:2" ht="16.5">
      <c r="A983" s="79"/>
      <c r="B983" s="79"/>
    </row>
    <row r="984" spans="1:2" ht="16.5">
      <c r="A984" s="79"/>
      <c r="B984" s="79"/>
    </row>
    <row r="985" spans="1:2" ht="16.5">
      <c r="A985" s="79"/>
      <c r="B985" s="79"/>
    </row>
    <row r="986" spans="1:2" ht="16.5">
      <c r="A986" s="79"/>
      <c r="B986" s="79"/>
    </row>
    <row r="987" spans="1:2" ht="16.5">
      <c r="A987" s="79"/>
      <c r="B987" s="79"/>
    </row>
    <row r="988" spans="1:2" ht="16.5">
      <c r="A988" s="79"/>
      <c r="B988" s="79"/>
    </row>
    <row r="989" spans="1:2" ht="16.5">
      <c r="A989" s="79"/>
      <c r="B989" s="79"/>
    </row>
    <row r="990" spans="1:2" ht="16.5">
      <c r="A990" s="79"/>
      <c r="B990" s="79"/>
    </row>
    <row r="991" spans="1:2" ht="16.5">
      <c r="A991" s="79"/>
      <c r="B991" s="79"/>
    </row>
    <row r="992" spans="1:2" ht="16.5">
      <c r="A992" s="79"/>
      <c r="B992" s="79"/>
    </row>
    <row r="993" spans="1:2" ht="16.5">
      <c r="A993" s="79"/>
      <c r="B993" s="79"/>
    </row>
    <row r="994" spans="1:2" ht="16.5">
      <c r="A994" s="79"/>
      <c r="B994" s="79"/>
    </row>
    <row r="995" spans="1:2" ht="16.5">
      <c r="A995" s="79"/>
      <c r="B995" s="79"/>
    </row>
    <row r="996" spans="1:2" ht="16.5">
      <c r="A996" s="79"/>
      <c r="B996" s="79"/>
    </row>
    <row r="997" spans="1:2" ht="16.5">
      <c r="A997" s="79"/>
      <c r="B997" s="79"/>
    </row>
    <row r="998" spans="1:2" ht="16.5">
      <c r="A998" s="79"/>
      <c r="B998" s="79"/>
    </row>
    <row r="999" spans="1:2" ht="16.5">
      <c r="A999" s="79"/>
      <c r="B999" s="79"/>
    </row>
    <row r="1000" spans="1:2" ht="16.5">
      <c r="A1000" s="79"/>
      <c r="B1000" s="79"/>
    </row>
    <row r="1001" spans="1:2" ht="16.5">
      <c r="A1001" s="79"/>
      <c r="B1001" s="79"/>
    </row>
    <row r="1002" spans="1:2" ht="16.5">
      <c r="A1002" s="79"/>
      <c r="B1002" s="79"/>
    </row>
    <row r="1003" spans="1:2" ht="16.5">
      <c r="A1003" s="79"/>
      <c r="B1003" s="79"/>
    </row>
    <row r="1004" spans="1:2" ht="16.5">
      <c r="A1004" s="79"/>
      <c r="B1004" s="79"/>
    </row>
    <row r="1005" spans="1:2" ht="16.5">
      <c r="A1005" s="79"/>
      <c r="B1005" s="79"/>
    </row>
    <row r="1006" spans="1:2" ht="16.5">
      <c r="A1006" s="79"/>
      <c r="B1006" s="79"/>
    </row>
    <row r="1007" spans="1:2" ht="16.5">
      <c r="A1007" s="79"/>
      <c r="B1007" s="79"/>
    </row>
    <row r="1008" spans="1:2" ht="16.5">
      <c r="A1008" s="79"/>
      <c r="B1008" s="79"/>
    </row>
    <row r="1009" spans="1:2" ht="16.5">
      <c r="A1009" s="79"/>
      <c r="B1009" s="79"/>
    </row>
    <row r="1010" spans="1:2" ht="16.5">
      <c r="A1010" s="79"/>
      <c r="B1010" s="79"/>
    </row>
    <row r="1011" spans="1:2" ht="16.5">
      <c r="A1011" s="79"/>
      <c r="B1011" s="79"/>
    </row>
    <row r="1012" spans="1:2" ht="16.5">
      <c r="A1012" s="79"/>
      <c r="B1012" s="79"/>
    </row>
    <row r="1013" spans="1:2" ht="16.5">
      <c r="A1013" s="79"/>
      <c r="B1013" s="79"/>
    </row>
    <row r="1014" spans="1:2" ht="16.5">
      <c r="A1014" s="79"/>
      <c r="B1014" s="79"/>
    </row>
    <row r="1015" spans="1:2" ht="16.5">
      <c r="A1015" s="79"/>
      <c r="B1015" s="79"/>
    </row>
    <row r="1016" spans="1:2" ht="16.5">
      <c r="A1016" s="79"/>
      <c r="B1016" s="79"/>
    </row>
    <row r="1017" spans="1:2" ht="16.5">
      <c r="A1017" s="79"/>
      <c r="B1017" s="79"/>
    </row>
    <row r="1018" spans="1:2" ht="16.5">
      <c r="A1018" s="79"/>
      <c r="B1018" s="79"/>
    </row>
    <row r="1019" spans="1:2" ht="16.5">
      <c r="A1019" s="79"/>
      <c r="B1019" s="79"/>
    </row>
    <row r="1020" spans="1:2" ht="16.5">
      <c r="A1020" s="79"/>
      <c r="B1020" s="79"/>
    </row>
    <row r="1021" spans="1:2" ht="16.5">
      <c r="A1021" s="79"/>
      <c r="B1021" s="79"/>
    </row>
    <row r="1022" spans="1:2" ht="16.5">
      <c r="A1022" s="79"/>
      <c r="B1022" s="79"/>
    </row>
    <row r="1023" spans="1:2" ht="16.5">
      <c r="A1023" s="79"/>
      <c r="B1023" s="79"/>
    </row>
    <row r="1024" spans="1:2" ht="16.5">
      <c r="A1024" s="79"/>
      <c r="B1024" s="79"/>
    </row>
    <row r="1025" spans="1:2" ht="16.5">
      <c r="A1025" s="79"/>
      <c r="B1025" s="79"/>
    </row>
    <row r="1026" spans="1:2" ht="16.5">
      <c r="A1026" s="79"/>
      <c r="B1026" s="79"/>
    </row>
    <row r="1027" spans="1:2" ht="16.5">
      <c r="A1027" s="79"/>
      <c r="B1027" s="79"/>
    </row>
    <row r="1028" spans="1:2" ht="16.5">
      <c r="A1028" s="79"/>
      <c r="B1028" s="79"/>
    </row>
    <row r="1029" spans="1:2" ht="16.5">
      <c r="A1029" s="79"/>
      <c r="B1029" s="79"/>
    </row>
    <row r="1030" spans="1:2" ht="16.5">
      <c r="A1030" s="79"/>
      <c r="B1030" s="79"/>
    </row>
    <row r="1031" spans="1:2" ht="16.5">
      <c r="A1031" s="79"/>
      <c r="B1031" s="79"/>
    </row>
    <row r="1032" spans="1:2" ht="16.5">
      <c r="A1032" s="79"/>
      <c r="B1032" s="79"/>
    </row>
    <row r="1033" spans="1:2" ht="16.5">
      <c r="A1033" s="79"/>
      <c r="B1033" s="79"/>
    </row>
    <row r="1034" spans="1:2" ht="16.5">
      <c r="A1034" s="79"/>
      <c r="B1034" s="79"/>
    </row>
    <row r="1035" spans="1:2" ht="16.5">
      <c r="A1035" s="79"/>
      <c r="B1035" s="79"/>
    </row>
    <row r="1036" spans="1:2" ht="16.5">
      <c r="A1036" s="79"/>
      <c r="B1036" s="79"/>
    </row>
    <row r="1037" spans="1:2" ht="16.5">
      <c r="A1037" s="79"/>
      <c r="B1037" s="79"/>
    </row>
    <row r="1038" spans="1:2" ht="16.5">
      <c r="A1038" s="79"/>
      <c r="B1038" s="79"/>
    </row>
    <row r="1039" spans="1:2" ht="16.5">
      <c r="A1039" s="79"/>
      <c r="B1039" s="79"/>
    </row>
    <row r="1040" spans="1:2" ht="16.5">
      <c r="A1040" s="79"/>
      <c r="B1040" s="79"/>
    </row>
    <row r="1041" spans="1:2" ht="16.5">
      <c r="A1041" s="79"/>
      <c r="B1041" s="79"/>
    </row>
    <row r="1042" spans="1:2" ht="16.5">
      <c r="A1042" s="79"/>
      <c r="B1042" s="79"/>
    </row>
    <row r="1043" spans="1:2" ht="16.5">
      <c r="A1043" s="79"/>
      <c r="B1043" s="79"/>
    </row>
    <row r="1044" spans="1:2" ht="16.5">
      <c r="A1044" s="79"/>
      <c r="B1044" s="79"/>
    </row>
    <row r="1045" spans="1:2" ht="16.5">
      <c r="A1045" s="79"/>
      <c r="B1045" s="79"/>
    </row>
    <row r="1046" spans="1:2" ht="16.5">
      <c r="A1046" s="79"/>
      <c r="B1046" s="79"/>
    </row>
    <row r="1047" spans="1:2" ht="16.5">
      <c r="A1047" s="79"/>
      <c r="B1047" s="79"/>
    </row>
    <row r="1048" spans="1:2" ht="16.5">
      <c r="A1048" s="79"/>
      <c r="B1048" s="79"/>
    </row>
    <row r="1049" spans="1:2" ht="16.5">
      <c r="A1049" s="79"/>
      <c r="B1049" s="79"/>
    </row>
    <row r="1050" spans="1:2" ht="16.5">
      <c r="A1050" s="79"/>
      <c r="B1050" s="79"/>
    </row>
    <row r="1051" spans="1:2" ht="16.5">
      <c r="A1051" s="79"/>
      <c r="B1051" s="79"/>
    </row>
    <row r="1052" spans="1:2" ht="16.5">
      <c r="A1052" s="79"/>
      <c r="B1052" s="79"/>
    </row>
    <row r="1053" spans="1:2" ht="16.5">
      <c r="A1053" s="79"/>
      <c r="B1053" s="79"/>
    </row>
    <row r="1054" spans="1:2" ht="16.5">
      <c r="A1054" s="79"/>
      <c r="B1054" s="79"/>
    </row>
    <row r="1055" spans="1:2" ht="16.5">
      <c r="A1055" s="79"/>
      <c r="B1055" s="79"/>
    </row>
    <row r="1056" spans="1:2" ht="16.5">
      <c r="A1056" s="79"/>
      <c r="B1056" s="79"/>
    </row>
    <row r="1057" spans="1:2" ht="16.5">
      <c r="A1057" s="79"/>
      <c r="B1057" s="79"/>
    </row>
    <row r="1058" spans="1:2" ht="16.5">
      <c r="A1058" s="79"/>
      <c r="B1058" s="79"/>
    </row>
    <row r="1059" spans="1:2" ht="16.5">
      <c r="A1059" s="79"/>
      <c r="B1059" s="79"/>
    </row>
    <row r="1060" spans="1:2" ht="16.5">
      <c r="A1060" s="79"/>
      <c r="B1060" s="79"/>
    </row>
    <row r="1061" spans="1:2" ht="16.5">
      <c r="A1061" s="79"/>
      <c r="B1061" s="79"/>
    </row>
    <row r="1062" spans="1:2" ht="16.5">
      <c r="A1062" s="79"/>
      <c r="B1062" s="79"/>
    </row>
    <row r="1063" spans="1:2" ht="16.5">
      <c r="A1063" s="79"/>
      <c r="B1063" s="79"/>
    </row>
    <row r="1064" spans="1:2" ht="16.5">
      <c r="A1064" s="79"/>
      <c r="B1064" s="79"/>
    </row>
    <row r="1065" spans="1:2" ht="16.5">
      <c r="A1065" s="79"/>
      <c r="B1065" s="79"/>
    </row>
    <row r="1066" spans="1:2" ht="16.5">
      <c r="A1066" s="79"/>
      <c r="B1066" s="79"/>
    </row>
    <row r="1067" spans="1:2" ht="16.5">
      <c r="A1067" s="79"/>
      <c r="B1067" s="79"/>
    </row>
    <row r="1068" spans="1:2" ht="16.5">
      <c r="A1068" s="79"/>
      <c r="B1068" s="79"/>
    </row>
    <row r="1069" spans="1:2" ht="16.5">
      <c r="A1069" s="79"/>
      <c r="B1069" s="79"/>
    </row>
    <row r="1070" spans="1:2" ht="16.5">
      <c r="A1070" s="79"/>
      <c r="B1070" s="79"/>
    </row>
    <row r="1071" spans="1:2" ht="16.5">
      <c r="A1071" s="79"/>
      <c r="B1071" s="79"/>
    </row>
    <row r="1072" spans="1:2" ht="16.5">
      <c r="A1072" s="79"/>
      <c r="B1072" s="79"/>
    </row>
    <row r="1073" spans="1:2" ht="16.5">
      <c r="A1073" s="79"/>
      <c r="B1073" s="79"/>
    </row>
    <row r="1074" spans="1:2" ht="16.5">
      <c r="A1074" s="79"/>
      <c r="B1074" s="79"/>
    </row>
    <row r="1075" spans="1:2" ht="16.5">
      <c r="A1075" s="79"/>
      <c r="B1075" s="79"/>
    </row>
    <row r="1076" spans="1:2" ht="16.5">
      <c r="A1076" s="79"/>
      <c r="B1076" s="79"/>
    </row>
    <row r="1077" spans="1:2" ht="16.5">
      <c r="A1077" s="79"/>
      <c r="B1077" s="79"/>
    </row>
    <row r="1078" spans="1:2" ht="16.5">
      <c r="A1078" s="79"/>
      <c r="B1078" s="79"/>
    </row>
    <row r="1079" spans="1:2" ht="16.5">
      <c r="A1079" s="79"/>
      <c r="B1079" s="79"/>
    </row>
    <row r="1080" spans="1:2" ht="16.5">
      <c r="A1080" s="79"/>
      <c r="B1080" s="79"/>
    </row>
    <row r="1081" spans="1:2" ht="16.5">
      <c r="A1081" s="79"/>
      <c r="B1081" s="79"/>
    </row>
    <row r="1082" spans="1:2" ht="16.5">
      <c r="A1082" s="79"/>
      <c r="B1082" s="79"/>
    </row>
    <row r="1083" spans="1:2" ht="16.5">
      <c r="A1083" s="79"/>
      <c r="B1083" s="79"/>
    </row>
    <row r="1084" spans="1:2" ht="16.5">
      <c r="A1084" s="79"/>
      <c r="B1084" s="79"/>
    </row>
    <row r="1085" spans="1:2" ht="16.5">
      <c r="A1085" s="79"/>
      <c r="B1085" s="79"/>
    </row>
    <row r="1086" spans="1:2" ht="16.5">
      <c r="A1086" s="79"/>
      <c r="B1086" s="79"/>
    </row>
    <row r="1087" spans="1:2" ht="16.5">
      <c r="A1087" s="79"/>
      <c r="B1087" s="79"/>
    </row>
    <row r="1088" spans="1:2" ht="16.5">
      <c r="A1088" s="79"/>
      <c r="B1088" s="79"/>
    </row>
    <row r="1089" spans="1:2" ht="16.5">
      <c r="A1089" s="79"/>
      <c r="B1089" s="79"/>
    </row>
    <row r="1090" spans="1:2" ht="16.5">
      <c r="A1090" s="79"/>
      <c r="B1090" s="79"/>
    </row>
    <row r="1091" spans="1:2" ht="16.5">
      <c r="A1091" s="79"/>
      <c r="B1091" s="79"/>
    </row>
    <row r="1092" spans="1:2" ht="16.5">
      <c r="A1092" s="79"/>
      <c r="B1092" s="79"/>
    </row>
    <row r="1093" spans="1:2" ht="16.5">
      <c r="A1093" s="79"/>
      <c r="B1093" s="79"/>
    </row>
    <row r="1094" spans="1:2" ht="16.5">
      <c r="A1094" s="79"/>
      <c r="B1094" s="79"/>
    </row>
    <row r="1095" spans="1:2" ht="16.5">
      <c r="A1095" s="79"/>
      <c r="B1095" s="79"/>
    </row>
    <row r="1096" spans="1:2" ht="16.5">
      <c r="A1096" s="79"/>
      <c r="B1096" s="79"/>
    </row>
    <row r="1097" spans="1:2" ht="16.5">
      <c r="A1097" s="79"/>
      <c r="B1097" s="79"/>
    </row>
    <row r="1098" spans="1:2" ht="16.5">
      <c r="A1098" s="79"/>
      <c r="B1098" s="79"/>
    </row>
    <row r="1099" spans="1:2" ht="16.5">
      <c r="A1099" s="79"/>
      <c r="B1099" s="79"/>
    </row>
    <row r="1100" spans="1:2" ht="16.5">
      <c r="A1100" s="79"/>
      <c r="B1100" s="79"/>
    </row>
    <row r="1101" spans="1:2" ht="16.5">
      <c r="A1101" s="79"/>
      <c r="B1101" s="79"/>
    </row>
    <row r="1102" spans="1:2" ht="16.5">
      <c r="A1102" s="79"/>
      <c r="B1102" s="79"/>
    </row>
    <row r="1103" spans="1:2" ht="16.5">
      <c r="A1103" s="79"/>
      <c r="B1103" s="79"/>
    </row>
    <row r="1104" spans="1:2" ht="16.5">
      <c r="A1104" s="79"/>
      <c r="B1104" s="79"/>
    </row>
    <row r="1105" spans="1:2" ht="16.5">
      <c r="A1105" s="79"/>
      <c r="B1105" s="79"/>
    </row>
    <row r="1106" spans="1:2" ht="16.5">
      <c r="A1106" s="79"/>
      <c r="B1106" s="79"/>
    </row>
    <row r="1107" spans="1:2" ht="16.5">
      <c r="A1107" s="79"/>
      <c r="B1107" s="79"/>
    </row>
    <row r="1108" spans="1:2" ht="16.5">
      <c r="A1108" s="79"/>
      <c r="B1108" s="79"/>
    </row>
    <row r="1109" spans="1:2" ht="16.5">
      <c r="A1109" s="79"/>
      <c r="B1109" s="79"/>
    </row>
    <row r="1110" spans="1:2" ht="16.5">
      <c r="A1110" s="79"/>
      <c r="B1110" s="79"/>
    </row>
    <row r="1111" spans="1:2" ht="16.5">
      <c r="A1111" s="79"/>
      <c r="B1111" s="79"/>
    </row>
    <row r="1112" spans="1:2" ht="16.5">
      <c r="A1112" s="79"/>
      <c r="B1112" s="79"/>
    </row>
    <row r="1113" spans="1:2" ht="16.5">
      <c r="A1113" s="79"/>
      <c r="B1113" s="79"/>
    </row>
    <row r="1114" spans="1:2" ht="16.5">
      <c r="A1114" s="79"/>
      <c r="B1114" s="79"/>
    </row>
    <row r="1115" spans="1:2" ht="16.5">
      <c r="A1115" s="79"/>
      <c r="B1115" s="79"/>
    </row>
    <row r="1116" spans="1:2" ht="16.5">
      <c r="A1116" s="79"/>
      <c r="B1116" s="79"/>
    </row>
    <row r="1117" spans="1:2" ht="16.5">
      <c r="A1117" s="79"/>
      <c r="B1117" s="79"/>
    </row>
    <row r="1118" spans="1:2" ht="16.5">
      <c r="A1118" s="79"/>
      <c r="B1118" s="79"/>
    </row>
    <row r="1119" spans="1:2" ht="16.5">
      <c r="A1119" s="79"/>
      <c r="B1119" s="79"/>
    </row>
    <row r="1120" spans="1:2" ht="16.5">
      <c r="A1120" s="79"/>
      <c r="B1120" s="79"/>
    </row>
    <row r="1121" spans="1:2" ht="16.5">
      <c r="A1121" s="79"/>
      <c r="B1121" s="79"/>
    </row>
    <row r="1122" spans="1:2" ht="16.5">
      <c r="A1122" s="79"/>
      <c r="B1122" s="79"/>
    </row>
    <row r="1123" spans="1:2" ht="16.5">
      <c r="A1123" s="79"/>
      <c r="B1123" s="79"/>
    </row>
    <row r="1124" spans="1:2" ht="16.5">
      <c r="A1124" s="79"/>
      <c r="B1124" s="79"/>
    </row>
    <row r="1125" spans="1:2" ht="16.5">
      <c r="A1125" s="79"/>
      <c r="B1125" s="79"/>
    </row>
    <row r="1126" spans="1:2" ht="16.5">
      <c r="A1126" s="79"/>
      <c r="B1126" s="79"/>
    </row>
    <row r="1127" spans="1:2" ht="16.5">
      <c r="A1127" s="79"/>
      <c r="B1127" s="79"/>
    </row>
    <row r="1128" spans="1:2" ht="16.5">
      <c r="A1128" s="79"/>
      <c r="B1128" s="79"/>
    </row>
    <row r="1129" spans="1:2" ht="16.5">
      <c r="A1129" s="79"/>
      <c r="B1129" s="79"/>
    </row>
    <row r="1130" spans="1:2" ht="16.5">
      <c r="A1130" s="79"/>
      <c r="B1130" s="79"/>
    </row>
    <row r="1131" spans="1:2" ht="16.5">
      <c r="A1131" s="79"/>
      <c r="B1131" s="79"/>
    </row>
    <row r="1132" spans="1:2" ht="16.5">
      <c r="A1132" s="79"/>
      <c r="B1132" s="79"/>
    </row>
    <row r="1133" spans="1:2" ht="16.5">
      <c r="A1133" s="79"/>
      <c r="B1133" s="79"/>
    </row>
    <row r="1134" spans="1:2" ht="16.5">
      <c r="A1134" s="79"/>
      <c r="B1134" s="79"/>
    </row>
    <row r="1135" spans="1:2" ht="16.5">
      <c r="A1135" s="79"/>
      <c r="B1135" s="79"/>
    </row>
    <row r="1136" spans="1:2" ht="16.5">
      <c r="A1136" s="79"/>
      <c r="B1136" s="79"/>
    </row>
    <row r="1137" spans="1:2" ht="16.5">
      <c r="A1137" s="79"/>
      <c r="B1137" s="79"/>
    </row>
    <row r="1138" spans="1:2" ht="16.5">
      <c r="A1138" s="79"/>
      <c r="B1138" s="79"/>
    </row>
    <row r="1139" spans="1:2" ht="16.5">
      <c r="A1139" s="79"/>
      <c r="B1139" s="79"/>
    </row>
    <row r="1140" spans="1:2" ht="16.5">
      <c r="A1140" s="79"/>
      <c r="B1140" s="79"/>
    </row>
    <row r="1141" spans="1:2" ht="16.5">
      <c r="A1141" s="79"/>
      <c r="B1141" s="79"/>
    </row>
    <row r="1142" spans="1:2" ht="16.5">
      <c r="A1142" s="79"/>
      <c r="B1142" s="79"/>
    </row>
    <row r="1143" spans="1:2" ht="16.5">
      <c r="A1143" s="79"/>
      <c r="B1143" s="79"/>
    </row>
    <row r="1144" spans="1:2" ht="16.5">
      <c r="A1144" s="79"/>
      <c r="B1144" s="79"/>
    </row>
    <row r="1145" spans="1:2" ht="16.5">
      <c r="A1145" s="79"/>
      <c r="B1145" s="79"/>
    </row>
    <row r="1146" spans="1:2" ht="16.5">
      <c r="A1146" s="79"/>
      <c r="B1146" s="79"/>
    </row>
    <row r="1147" spans="1:2" ht="16.5">
      <c r="A1147" s="79"/>
      <c r="B1147" s="79"/>
    </row>
    <row r="1148" spans="1:2" ht="16.5">
      <c r="A1148" s="79"/>
      <c r="B1148" s="79"/>
    </row>
    <row r="1149" spans="1:2" ht="16.5">
      <c r="A1149" s="79"/>
      <c r="B1149" s="79"/>
    </row>
    <row r="1150" spans="1:2" ht="16.5">
      <c r="A1150" s="79"/>
      <c r="B1150" s="79"/>
    </row>
    <row r="1151" spans="1:2" ht="16.5">
      <c r="A1151" s="79"/>
      <c r="B1151" s="79"/>
    </row>
    <row r="1152" spans="1:2" ht="16.5">
      <c r="A1152" s="79"/>
      <c r="B1152" s="79"/>
    </row>
    <row r="1153" spans="1:2" ht="16.5">
      <c r="A1153" s="79"/>
      <c r="B1153" s="79"/>
    </row>
    <row r="1154" spans="1:2" ht="16.5">
      <c r="A1154" s="79"/>
      <c r="B1154" s="79"/>
    </row>
    <row r="1155" spans="1:2" ht="16.5">
      <c r="A1155" s="79"/>
      <c r="B1155" s="79"/>
    </row>
    <row r="1156" spans="1:2" ht="16.5">
      <c r="A1156" s="79"/>
      <c r="B1156" s="79"/>
    </row>
    <row r="1157" spans="1:2" ht="16.5">
      <c r="A1157" s="79"/>
      <c r="B1157" s="79"/>
    </row>
    <row r="1158" spans="1:2" ht="16.5">
      <c r="A1158" s="79"/>
      <c r="B1158" s="79"/>
    </row>
    <row r="1159" spans="1:2" ht="16.5">
      <c r="A1159" s="79"/>
      <c r="B1159" s="79"/>
    </row>
    <row r="1160" spans="1:2" ht="16.5">
      <c r="A1160" s="79"/>
      <c r="B1160" s="79"/>
    </row>
    <row r="1161" spans="1:2" ht="16.5">
      <c r="A1161" s="79"/>
      <c r="B1161" s="79"/>
    </row>
    <row r="1162" spans="1:2" ht="16.5">
      <c r="A1162" s="79"/>
      <c r="B1162" s="79"/>
    </row>
    <row r="1163" spans="1:2" ht="16.5">
      <c r="A1163" s="79"/>
      <c r="B1163" s="79"/>
    </row>
    <row r="1164" spans="1:2" ht="16.5">
      <c r="A1164" s="79"/>
      <c r="B1164" s="79"/>
    </row>
    <row r="1165" spans="1:2" ht="16.5">
      <c r="A1165" s="79"/>
      <c r="B1165" s="79"/>
    </row>
    <row r="1166" spans="1:2" ht="16.5">
      <c r="A1166" s="79"/>
      <c r="B1166" s="79"/>
    </row>
    <row r="1167" spans="1:2" ht="16.5">
      <c r="A1167" s="79"/>
      <c r="B1167" s="79"/>
    </row>
    <row r="1168" spans="1:2" ht="16.5">
      <c r="A1168" s="79"/>
      <c r="B1168" s="79"/>
    </row>
    <row r="1169" spans="1:2" ht="16.5">
      <c r="A1169" s="79"/>
      <c r="B1169" s="79"/>
    </row>
    <row r="1170" spans="1:2" ht="16.5">
      <c r="A1170" s="79"/>
      <c r="B1170" s="79"/>
    </row>
    <row r="1171" spans="1:2" ht="16.5">
      <c r="A1171" s="79"/>
      <c r="B1171" s="79"/>
    </row>
    <row r="1172" spans="1:2" ht="16.5">
      <c r="A1172" s="79"/>
      <c r="B1172" s="79"/>
    </row>
    <row r="1173" spans="1:2" ht="16.5">
      <c r="A1173" s="79"/>
      <c r="B1173" s="79"/>
    </row>
    <row r="1174" spans="1:2" ht="16.5">
      <c r="A1174" s="79"/>
      <c r="B1174" s="79"/>
    </row>
    <row r="1175" spans="1:2" ht="16.5">
      <c r="A1175" s="79"/>
      <c r="B1175" s="79"/>
    </row>
    <row r="1176" spans="1:2" ht="16.5">
      <c r="A1176" s="79"/>
      <c r="B1176" s="79"/>
    </row>
    <row r="1177" spans="1:2" ht="16.5">
      <c r="A1177" s="79"/>
      <c r="B1177" s="79"/>
    </row>
    <row r="1178" spans="1:2" ht="16.5">
      <c r="A1178" s="79"/>
      <c r="B1178" s="79"/>
    </row>
    <row r="1179" spans="1:2" ht="16.5">
      <c r="A1179" s="79"/>
      <c r="B1179" s="79"/>
    </row>
    <row r="1180" spans="1:2" ht="16.5">
      <c r="A1180" s="79"/>
      <c r="B1180" s="79"/>
    </row>
    <row r="1181" spans="1:2" ht="16.5">
      <c r="A1181" s="79"/>
      <c r="B1181" s="79"/>
    </row>
    <row r="1182" spans="1:2" ht="16.5">
      <c r="A1182" s="79"/>
      <c r="B1182" s="79"/>
    </row>
    <row r="1183" spans="1:2" ht="16.5">
      <c r="A1183" s="79"/>
      <c r="B1183" s="79"/>
    </row>
    <row r="1184" spans="1:2" ht="16.5">
      <c r="A1184" s="79"/>
      <c r="B1184" s="79"/>
    </row>
    <row r="1185" spans="1:2" ht="16.5">
      <c r="A1185" s="79"/>
      <c r="B1185" s="79"/>
    </row>
    <row r="1186" spans="1:2" ht="16.5">
      <c r="A1186" s="79"/>
      <c r="B1186" s="79"/>
    </row>
    <row r="1187" spans="1:2" ht="16.5">
      <c r="A1187" s="79"/>
      <c r="B1187" s="79"/>
    </row>
    <row r="1188" spans="1:2" ht="16.5">
      <c r="A1188" s="79"/>
      <c r="B1188" s="79"/>
    </row>
    <row r="1189" spans="1:2" ht="16.5">
      <c r="A1189" s="79"/>
      <c r="B1189" s="79"/>
    </row>
    <row r="1190" spans="1:2" ht="16.5">
      <c r="A1190" s="79"/>
      <c r="B1190" s="79"/>
    </row>
    <row r="1191" spans="1:2" ht="16.5">
      <c r="A1191" s="79"/>
      <c r="B1191" s="79"/>
    </row>
    <row r="1192" spans="1:2" ht="16.5">
      <c r="A1192" s="79"/>
      <c r="B1192" s="79"/>
    </row>
    <row r="1193" spans="1:2" ht="16.5">
      <c r="A1193" s="79"/>
      <c r="B1193" s="79"/>
    </row>
    <row r="1194" spans="1:2" ht="16.5">
      <c r="A1194" s="79"/>
      <c r="B1194" s="79"/>
    </row>
    <row r="1195" spans="1:2" ht="16.5">
      <c r="A1195" s="79"/>
      <c r="B1195" s="79"/>
    </row>
    <row r="1196" spans="1:2" ht="16.5">
      <c r="A1196" s="79"/>
      <c r="B1196" s="79"/>
    </row>
    <row r="1197" spans="1:2" ht="16.5">
      <c r="A1197" s="79"/>
      <c r="B1197" s="79"/>
    </row>
    <row r="1198" spans="1:2" ht="16.5">
      <c r="A1198" s="79"/>
      <c r="B1198" s="79"/>
    </row>
    <row r="1199" spans="1:2" ht="16.5">
      <c r="A1199" s="79"/>
      <c r="B1199" s="79"/>
    </row>
    <row r="1200" spans="1:2" ht="16.5">
      <c r="A1200" s="79"/>
      <c r="B1200" s="79"/>
    </row>
    <row r="1201" spans="1:2" ht="16.5">
      <c r="A1201" s="79"/>
      <c r="B1201" s="79"/>
    </row>
    <row r="1202" spans="1:2" ht="16.5">
      <c r="A1202" s="79"/>
      <c r="B1202" s="79"/>
    </row>
    <row r="1203" spans="1:2" ht="16.5">
      <c r="A1203" s="79"/>
      <c r="B1203" s="79"/>
    </row>
    <row r="1204" spans="1:2" ht="16.5">
      <c r="A1204" s="79"/>
      <c r="B1204" s="79"/>
    </row>
    <row r="1205" spans="1:2" ht="16.5">
      <c r="A1205" s="79"/>
      <c r="B1205" s="79"/>
    </row>
    <row r="1206" spans="1:2" ht="16.5">
      <c r="A1206" s="79"/>
      <c r="B1206" s="79"/>
    </row>
    <row r="1207" spans="1:2" ht="16.5">
      <c r="A1207" s="79"/>
      <c r="B1207" s="79"/>
    </row>
    <row r="1208" spans="1:2" ht="16.5">
      <c r="A1208" s="79"/>
      <c r="B1208" s="79"/>
    </row>
    <row r="1209" spans="1:2" ht="16.5">
      <c r="A1209" s="79"/>
      <c r="B1209" s="79"/>
    </row>
    <row r="1210" spans="1:2" ht="16.5">
      <c r="A1210" s="79"/>
      <c r="B1210" s="79"/>
    </row>
    <row r="1211" spans="1:2" ht="16.5">
      <c r="A1211" s="79"/>
      <c r="B1211" s="79"/>
    </row>
    <row r="1212" spans="1:2" ht="16.5">
      <c r="A1212" s="79"/>
      <c r="B1212" s="79"/>
    </row>
    <row r="1213" spans="1:2" ht="16.5">
      <c r="A1213" s="79"/>
      <c r="B1213" s="79"/>
    </row>
    <row r="1214" spans="1:2" ht="16.5">
      <c r="A1214" s="79"/>
      <c r="B1214" s="79"/>
    </row>
    <row r="1215" spans="1:2" ht="16.5">
      <c r="A1215" s="79"/>
      <c r="B1215" s="79"/>
    </row>
    <row r="1216" spans="1:2" ht="16.5">
      <c r="A1216" s="79"/>
      <c r="B1216" s="79"/>
    </row>
    <row r="1217" spans="1:2" ht="16.5">
      <c r="A1217" s="79"/>
      <c r="B1217" s="79"/>
    </row>
    <row r="1218" spans="1:2" ht="16.5">
      <c r="A1218" s="79"/>
      <c r="B1218" s="79"/>
    </row>
    <row r="1219" spans="1:2" ht="16.5">
      <c r="A1219" s="79"/>
      <c r="B1219" s="79"/>
    </row>
    <row r="1220" spans="1:2" ht="16.5">
      <c r="A1220" s="79"/>
      <c r="B1220" s="79"/>
    </row>
    <row r="1221" spans="1:2" ht="16.5">
      <c r="A1221" s="79"/>
      <c r="B1221" s="79"/>
    </row>
    <row r="1222" spans="1:2" ht="16.5">
      <c r="A1222" s="79"/>
      <c r="B1222" s="79"/>
    </row>
    <row r="1223" spans="1:2" ht="16.5">
      <c r="A1223" s="79"/>
      <c r="B1223" s="79"/>
    </row>
    <row r="1224" spans="1:2" ht="16.5">
      <c r="A1224" s="79"/>
      <c r="B1224" s="79"/>
    </row>
    <row r="1225" spans="1:2" ht="16.5">
      <c r="A1225" s="79"/>
      <c r="B1225" s="79"/>
    </row>
    <row r="1226" spans="1:2" ht="16.5">
      <c r="A1226" s="79"/>
      <c r="B1226" s="79"/>
    </row>
    <row r="1227" spans="1:2" ht="16.5">
      <c r="A1227" s="79"/>
      <c r="B1227" s="79"/>
    </row>
    <row r="1228" spans="1:2" ht="16.5">
      <c r="A1228" s="79"/>
      <c r="B1228" s="79"/>
    </row>
    <row r="1229" spans="1:2" ht="16.5">
      <c r="A1229" s="79"/>
      <c r="B1229" s="79"/>
    </row>
    <row r="1230" spans="1:2" ht="16.5">
      <c r="A1230" s="79"/>
      <c r="B1230" s="79"/>
    </row>
    <row r="1231" spans="1:2" ht="16.5">
      <c r="A1231" s="79"/>
      <c r="B1231" s="79"/>
    </row>
    <row r="1232" spans="1:2" ht="16.5">
      <c r="A1232" s="79"/>
      <c r="B1232" s="79"/>
    </row>
    <row r="1233" spans="1:2" ht="16.5">
      <c r="A1233" s="79"/>
      <c r="B1233" s="79"/>
    </row>
    <row r="1234" spans="1:2" ht="16.5">
      <c r="A1234" s="79"/>
      <c r="B1234" s="79"/>
    </row>
    <row r="1235" spans="1:2" ht="16.5">
      <c r="A1235" s="79"/>
      <c r="B1235" s="79"/>
    </row>
    <row r="1236" spans="1:2" ht="16.5">
      <c r="A1236" s="79"/>
      <c r="B1236" s="79"/>
    </row>
    <row r="1237" spans="1:2" ht="16.5">
      <c r="A1237" s="79"/>
      <c r="B1237" s="79"/>
    </row>
    <row r="1238" spans="1:2" ht="16.5">
      <c r="A1238" s="79"/>
      <c r="B1238" s="79"/>
    </row>
    <row r="1239" spans="1:2" ht="16.5">
      <c r="A1239" s="79"/>
      <c r="B1239" s="79"/>
    </row>
    <row r="1240" spans="1:2" ht="16.5">
      <c r="A1240" s="79"/>
      <c r="B1240" s="79"/>
    </row>
    <row r="1241" spans="1:2" ht="16.5">
      <c r="A1241" s="79"/>
      <c r="B1241" s="79"/>
    </row>
    <row r="1242" spans="1:2" ht="16.5">
      <c r="A1242" s="79"/>
      <c r="B1242" s="79"/>
    </row>
    <row r="1243" spans="1:2" ht="16.5">
      <c r="A1243" s="79"/>
      <c r="B1243" s="79"/>
    </row>
    <row r="1244" spans="1:2" ht="16.5">
      <c r="A1244" s="79"/>
      <c r="B1244" s="79"/>
    </row>
    <row r="1245" spans="1:2" ht="16.5">
      <c r="A1245" s="79"/>
      <c r="B1245" s="79"/>
    </row>
    <row r="1246" spans="1:2" ht="16.5">
      <c r="A1246" s="79"/>
      <c r="B1246" s="79"/>
    </row>
    <row r="1247" spans="1:2" ht="16.5">
      <c r="A1247" s="79"/>
      <c r="B1247" s="79"/>
    </row>
    <row r="1248" spans="1:2" ht="16.5">
      <c r="A1248" s="79"/>
      <c r="B1248" s="79"/>
    </row>
    <row r="1249" spans="1:2" ht="16.5">
      <c r="A1249" s="79"/>
      <c r="B1249" s="79"/>
    </row>
    <row r="1250" spans="1:2" ht="16.5">
      <c r="A1250" s="79"/>
      <c r="B1250" s="79"/>
    </row>
    <row r="1251" spans="1:2" ht="16.5">
      <c r="A1251" s="79"/>
      <c r="B1251" s="79"/>
    </row>
    <row r="1252" spans="1:2" ht="16.5">
      <c r="A1252" s="79"/>
      <c r="B1252" s="79"/>
    </row>
    <row r="1253" spans="1:2" ht="16.5">
      <c r="A1253" s="79"/>
      <c r="B1253" s="79"/>
    </row>
    <row r="1254" spans="1:2" ht="16.5">
      <c r="A1254" s="79"/>
      <c r="B1254" s="79"/>
    </row>
    <row r="1255" spans="1:2" ht="16.5">
      <c r="A1255" s="79"/>
      <c r="B1255" s="79"/>
    </row>
    <row r="1256" spans="1:2" ht="16.5">
      <c r="A1256" s="79"/>
      <c r="B1256" s="79"/>
    </row>
    <row r="1257" spans="1:2" ht="16.5">
      <c r="A1257" s="79"/>
      <c r="B1257" s="79"/>
    </row>
    <row r="1258" spans="1:2" ht="16.5">
      <c r="A1258" s="79"/>
      <c r="B1258" s="79"/>
    </row>
    <row r="1259" spans="1:2" ht="16.5">
      <c r="A1259" s="79"/>
      <c r="B1259" s="79"/>
    </row>
    <row r="1260" spans="1:2" ht="16.5">
      <c r="A1260" s="79"/>
      <c r="B1260" s="79"/>
    </row>
    <row r="1261" spans="1:2" ht="16.5">
      <c r="A1261" s="79"/>
      <c r="B1261" s="79"/>
    </row>
    <row r="1262" spans="1:2" ht="16.5">
      <c r="A1262" s="79"/>
      <c r="B1262" s="79"/>
    </row>
    <row r="1263" spans="1:2" ht="16.5">
      <c r="A1263" s="79"/>
      <c r="B1263" s="79"/>
    </row>
    <row r="1264" spans="1:2" ht="16.5">
      <c r="A1264" s="79"/>
      <c r="B1264" s="79"/>
    </row>
    <row r="1265" spans="1:2" ht="16.5">
      <c r="A1265" s="79"/>
      <c r="B1265" s="79"/>
    </row>
    <row r="1266" spans="1:2" ht="16.5">
      <c r="A1266" s="79"/>
      <c r="B1266" s="79"/>
    </row>
    <row r="1267" spans="1:2" ht="16.5">
      <c r="A1267" s="79"/>
      <c r="B1267" s="79"/>
    </row>
    <row r="1268" spans="1:2" ht="16.5">
      <c r="A1268" s="79"/>
      <c r="B1268" s="79"/>
    </row>
    <row r="1269" spans="1:2" ht="16.5">
      <c r="A1269" s="79"/>
      <c r="B1269" s="79"/>
    </row>
    <row r="1270" spans="1:2" ht="16.5">
      <c r="A1270" s="79"/>
      <c r="B1270" s="79"/>
    </row>
    <row r="1271" spans="1:2" ht="16.5">
      <c r="A1271" s="79"/>
      <c r="B1271" s="79"/>
    </row>
    <row r="1272" spans="1:2" ht="16.5">
      <c r="A1272" s="79"/>
      <c r="B1272" s="79"/>
    </row>
    <row r="1273" spans="1:2" ht="16.5">
      <c r="A1273" s="79"/>
      <c r="B1273" s="79"/>
    </row>
    <row r="1274" spans="1:2" ht="16.5">
      <c r="A1274" s="79"/>
      <c r="B1274" s="79"/>
    </row>
    <row r="1275" spans="1:2" ht="16.5">
      <c r="A1275" s="79"/>
      <c r="B1275" s="79"/>
    </row>
    <row r="1276" spans="1:2" ht="16.5">
      <c r="A1276" s="79"/>
      <c r="B1276" s="79"/>
    </row>
    <row r="1277" spans="1:2" ht="16.5">
      <c r="A1277" s="79"/>
      <c r="B1277" s="79"/>
    </row>
    <row r="1278" spans="1:2" ht="16.5">
      <c r="A1278" s="79"/>
      <c r="B1278" s="79"/>
    </row>
    <row r="1279" spans="1:2" ht="16.5">
      <c r="A1279" s="79"/>
      <c r="B1279" s="79"/>
    </row>
    <row r="1280" spans="1:2" ht="16.5">
      <c r="A1280" s="79"/>
      <c r="B1280" s="79"/>
    </row>
    <row r="1281" spans="1:2" ht="16.5">
      <c r="A1281" s="79"/>
      <c r="B1281" s="79"/>
    </row>
    <row r="1282" spans="1:2" ht="16.5">
      <c r="A1282" s="79"/>
      <c r="B1282" s="79"/>
    </row>
    <row r="1283" spans="1:2" ht="16.5">
      <c r="A1283" s="79"/>
      <c r="B1283" s="79"/>
    </row>
    <row r="1284" spans="1:2" ht="16.5">
      <c r="A1284" s="79"/>
      <c r="B1284" s="79"/>
    </row>
    <row r="1285" spans="1:2" ht="16.5">
      <c r="A1285" s="79"/>
      <c r="B1285" s="79"/>
    </row>
    <row r="1286" spans="1:2" ht="16.5">
      <c r="A1286" s="79"/>
      <c r="B1286" s="79"/>
    </row>
    <row r="1287" spans="1:2" ht="16.5">
      <c r="A1287" s="79"/>
      <c r="B1287" s="79"/>
    </row>
    <row r="1288" spans="1:2" ht="16.5">
      <c r="A1288" s="79"/>
      <c r="B1288" s="79"/>
    </row>
    <row r="1289" spans="1:2" ht="16.5">
      <c r="A1289" s="79"/>
      <c r="B1289" s="79"/>
    </row>
    <row r="1290" spans="1:2" ht="16.5">
      <c r="A1290" s="79"/>
      <c r="B1290" s="79"/>
    </row>
    <row r="1291" spans="1:2" ht="16.5">
      <c r="A1291" s="79"/>
      <c r="B1291" s="79"/>
    </row>
    <row r="1292" spans="1:2" ht="16.5">
      <c r="A1292" s="79"/>
      <c r="B1292" s="79"/>
    </row>
    <row r="1293" spans="1:2" ht="16.5">
      <c r="A1293" s="79"/>
      <c r="B1293" s="79"/>
    </row>
    <row r="1294" spans="1:2" ht="16.5">
      <c r="A1294" s="79"/>
      <c r="B1294" s="79"/>
    </row>
    <row r="1295" spans="1:2" ht="16.5">
      <c r="A1295" s="79"/>
      <c r="B1295" s="79"/>
    </row>
    <row r="1296" spans="1:2" ht="16.5">
      <c r="A1296" s="79"/>
      <c r="B1296" s="79"/>
    </row>
    <row r="1297" spans="1:2" ht="16.5">
      <c r="A1297" s="79"/>
      <c r="B1297" s="79"/>
    </row>
    <row r="1298" spans="1:2" ht="16.5">
      <c r="A1298" s="79"/>
      <c r="B1298" s="79"/>
    </row>
    <row r="1299" spans="1:2" ht="16.5">
      <c r="A1299" s="79"/>
      <c r="B1299" s="79"/>
    </row>
    <row r="1300" spans="1:2" ht="16.5">
      <c r="A1300" s="79"/>
      <c r="B1300" s="79"/>
    </row>
    <row r="1301" spans="1:2" ht="16.5">
      <c r="A1301" s="79"/>
      <c r="B1301" s="79"/>
    </row>
    <row r="1302" spans="1:2" ht="16.5">
      <c r="A1302" s="79"/>
      <c r="B1302" s="79"/>
    </row>
    <row r="1303" spans="1:2" ht="16.5">
      <c r="A1303" s="79"/>
      <c r="B1303" s="79"/>
    </row>
    <row r="1304" spans="1:2" ht="16.5">
      <c r="A1304" s="79"/>
      <c r="B1304" s="79"/>
    </row>
    <row r="1305" spans="1:2" ht="16.5">
      <c r="A1305" s="79"/>
      <c r="B1305" s="79"/>
    </row>
    <row r="1306" spans="1:2" ht="16.5">
      <c r="A1306" s="79"/>
      <c r="B1306" s="79"/>
    </row>
    <row r="1307" spans="1:2" ht="16.5">
      <c r="A1307" s="79"/>
      <c r="B1307" s="79"/>
    </row>
    <row r="1308" spans="1:2" ht="16.5">
      <c r="A1308" s="79"/>
      <c r="B1308" s="79"/>
    </row>
    <row r="1309" spans="1:2" ht="16.5">
      <c r="A1309" s="79"/>
      <c r="B1309" s="79"/>
    </row>
    <row r="1310" spans="1:2" ht="16.5">
      <c r="A1310" s="79"/>
      <c r="B1310" s="79"/>
    </row>
    <row r="1311" spans="1:2" ht="16.5">
      <c r="A1311" s="79"/>
      <c r="B1311" s="79"/>
    </row>
    <row r="1312" spans="1:2" ht="16.5">
      <c r="A1312" s="79"/>
      <c r="B1312" s="79"/>
    </row>
    <row r="1313" spans="1:2" ht="16.5">
      <c r="A1313" s="79"/>
      <c r="B1313" s="79"/>
    </row>
    <row r="1314" spans="1:2" ht="16.5">
      <c r="A1314" s="79"/>
      <c r="B1314" s="79"/>
    </row>
    <row r="1315" spans="1:2" ht="16.5">
      <c r="A1315" s="79"/>
      <c r="B1315" s="79"/>
    </row>
    <row r="1316" spans="1:2" ht="16.5">
      <c r="A1316" s="79"/>
      <c r="B1316" s="79"/>
    </row>
    <row r="1317" spans="1:2" ht="16.5">
      <c r="A1317" s="79"/>
      <c r="B1317" s="79"/>
    </row>
    <row r="1318" spans="1:2" ht="16.5">
      <c r="A1318" s="79"/>
      <c r="B1318" s="79"/>
    </row>
    <row r="1319" spans="1:2" ht="16.5">
      <c r="A1319" s="79"/>
      <c r="B1319" s="79"/>
    </row>
    <row r="1320" spans="1:2" ht="16.5">
      <c r="A1320" s="79"/>
      <c r="B1320" s="79"/>
    </row>
    <row r="1321" spans="1:2" ht="16.5">
      <c r="A1321" s="79"/>
      <c r="B1321" s="79"/>
    </row>
    <row r="1322" spans="1:2" ht="16.5">
      <c r="A1322" s="79"/>
      <c r="B1322" s="79"/>
    </row>
    <row r="1323" spans="1:2" ht="16.5">
      <c r="A1323" s="79"/>
      <c r="B1323" s="79"/>
    </row>
    <row r="1324" spans="1:2" ht="16.5">
      <c r="A1324" s="79"/>
      <c r="B1324" s="79"/>
    </row>
    <row r="1325" spans="1:2" ht="16.5">
      <c r="A1325" s="79"/>
      <c r="B1325" s="79"/>
    </row>
    <row r="1326" spans="1:2" ht="16.5">
      <c r="A1326" s="79"/>
      <c r="B1326" s="79"/>
    </row>
    <row r="1327" spans="1:2" ht="16.5">
      <c r="A1327" s="79"/>
      <c r="B1327" s="79"/>
    </row>
    <row r="1328" spans="1:2" ht="16.5">
      <c r="A1328" s="79"/>
      <c r="B1328" s="79"/>
    </row>
    <row r="1329" spans="1:2" ht="16.5">
      <c r="A1329" s="79"/>
      <c r="B1329" s="79"/>
    </row>
    <row r="1330" spans="1:2" ht="16.5">
      <c r="A1330" s="79"/>
      <c r="B1330" s="79"/>
    </row>
    <row r="1331" spans="1:2" ht="16.5">
      <c r="A1331" s="79"/>
      <c r="B1331" s="79"/>
    </row>
    <row r="1332" spans="1:2" ht="16.5">
      <c r="A1332" s="79"/>
      <c r="B1332" s="79"/>
    </row>
    <row r="1333" spans="1:2" ht="16.5">
      <c r="A1333" s="79"/>
      <c r="B1333" s="79"/>
    </row>
    <row r="1334" spans="1:2" ht="16.5">
      <c r="A1334" s="79"/>
      <c r="B1334" s="79"/>
    </row>
    <row r="1335" spans="1:2" ht="16.5">
      <c r="A1335" s="79"/>
      <c r="B1335" s="79"/>
    </row>
    <row r="1336" spans="1:2" ht="16.5">
      <c r="A1336" s="79"/>
      <c r="B1336" s="79"/>
    </row>
    <row r="1337" spans="1:2" ht="16.5">
      <c r="A1337" s="79"/>
      <c r="B1337" s="79"/>
    </row>
    <row r="1338" spans="1:2" ht="16.5">
      <c r="A1338" s="79"/>
      <c r="B1338" s="79"/>
    </row>
    <row r="1339" spans="1:2" ht="16.5">
      <c r="A1339" s="79"/>
      <c r="B1339" s="79"/>
    </row>
    <row r="1340" spans="1:2" ht="16.5">
      <c r="A1340" s="79"/>
      <c r="B1340" s="79"/>
    </row>
    <row r="1341" spans="1:2" ht="16.5">
      <c r="A1341" s="79"/>
      <c r="B1341" s="79"/>
    </row>
    <row r="1342" spans="1:2" ht="16.5">
      <c r="A1342" s="79"/>
      <c r="B1342" s="79"/>
    </row>
    <row r="1343" spans="1:2" ht="16.5">
      <c r="A1343" s="79"/>
      <c r="B1343" s="79"/>
    </row>
    <row r="1344" spans="1:2" ht="16.5">
      <c r="A1344" s="79"/>
      <c r="B1344" s="79"/>
    </row>
    <row r="1345" spans="1:2" ht="16.5">
      <c r="A1345" s="79"/>
      <c r="B1345" s="79"/>
    </row>
    <row r="1346" spans="1:2" ht="16.5">
      <c r="A1346" s="79"/>
      <c r="B1346" s="79"/>
    </row>
    <row r="1347" spans="1:2" ht="16.5">
      <c r="A1347" s="79"/>
      <c r="B1347" s="79"/>
    </row>
    <row r="1348" spans="1:2" ht="16.5">
      <c r="A1348" s="79"/>
      <c r="B1348" s="79"/>
    </row>
    <row r="1349" spans="1:2" ht="16.5">
      <c r="A1349" s="79"/>
      <c r="B1349" s="79"/>
    </row>
    <row r="1350" spans="1:2" ht="16.5">
      <c r="A1350" s="79"/>
      <c r="B1350" s="79"/>
    </row>
    <row r="1351" spans="1:2" ht="16.5">
      <c r="A1351" s="79"/>
      <c r="B1351" s="79"/>
    </row>
    <row r="1352" spans="1:2" ht="16.5">
      <c r="A1352" s="79"/>
      <c r="B1352" s="79"/>
    </row>
    <row r="1353" spans="1:2" ht="16.5">
      <c r="A1353" s="79"/>
      <c r="B1353" s="79"/>
    </row>
    <row r="1354" spans="1:2" ht="16.5">
      <c r="A1354" s="79"/>
      <c r="B1354" s="79"/>
    </row>
    <row r="1355" spans="1:2" ht="16.5">
      <c r="A1355" s="79"/>
      <c r="B1355" s="79"/>
    </row>
    <row r="1356" spans="1:2" ht="16.5">
      <c r="A1356" s="79"/>
      <c r="B1356" s="79"/>
    </row>
    <row r="1357" spans="1:2" ht="16.5">
      <c r="A1357" s="79"/>
      <c r="B1357" s="79"/>
    </row>
    <row r="1358" spans="1:2" ht="16.5">
      <c r="A1358" s="79"/>
      <c r="B1358" s="79"/>
    </row>
    <row r="1359" spans="1:2" ht="16.5">
      <c r="A1359" s="79"/>
      <c r="B1359" s="79"/>
    </row>
    <row r="1360" spans="1:2" ht="16.5">
      <c r="A1360" s="79"/>
      <c r="B1360" s="79"/>
    </row>
    <row r="1361" spans="1:2" ht="16.5">
      <c r="A1361" s="79"/>
      <c r="B1361" s="79"/>
    </row>
    <row r="1362" spans="1:2" ht="16.5">
      <c r="A1362" s="79"/>
      <c r="B1362" s="79"/>
    </row>
    <row r="1363" spans="1:2" ht="16.5">
      <c r="A1363" s="79"/>
      <c r="B1363" s="79"/>
    </row>
    <row r="1364" spans="1:2" ht="16.5">
      <c r="A1364" s="79"/>
      <c r="B1364" s="79"/>
    </row>
    <row r="1365" spans="1:2" ht="16.5">
      <c r="A1365" s="79"/>
      <c r="B1365" s="79"/>
    </row>
    <row r="1366" spans="1:2" ht="16.5">
      <c r="A1366" s="79"/>
      <c r="B1366" s="79"/>
    </row>
    <row r="1367" spans="1:2" ht="16.5">
      <c r="A1367" s="79"/>
      <c r="B1367" s="79"/>
    </row>
    <row r="1368" spans="1:2" ht="16.5">
      <c r="A1368" s="79"/>
      <c r="B1368" s="79"/>
    </row>
    <row r="1369" spans="1:2" ht="16.5">
      <c r="A1369" s="79"/>
      <c r="B1369" s="79"/>
    </row>
    <row r="1370" spans="1:2" ht="16.5">
      <c r="A1370" s="79"/>
      <c r="B1370" s="79"/>
    </row>
    <row r="1371" spans="1:2" ht="16.5">
      <c r="A1371" s="79"/>
      <c r="B1371" s="79"/>
    </row>
    <row r="1372" spans="1:2" ht="16.5">
      <c r="A1372" s="79"/>
      <c r="B1372" s="79"/>
    </row>
    <row r="1373" spans="1:2" ht="16.5">
      <c r="A1373" s="79"/>
      <c r="B1373" s="79"/>
    </row>
    <row r="1374" spans="1:2" ht="16.5">
      <c r="A1374" s="79"/>
      <c r="B1374" s="79"/>
    </row>
    <row r="1375" spans="1:2" ht="16.5">
      <c r="A1375" s="79"/>
      <c r="B1375" s="79"/>
    </row>
    <row r="1376" spans="1:2" ht="16.5">
      <c r="A1376" s="79"/>
      <c r="B1376" s="79"/>
    </row>
    <row r="1377" spans="1:2" ht="16.5">
      <c r="A1377" s="79"/>
      <c r="B1377" s="79"/>
    </row>
    <row r="1378" spans="1:2" ht="16.5">
      <c r="A1378" s="79"/>
      <c r="B1378" s="79"/>
    </row>
    <row r="1379" spans="1:2" ht="16.5">
      <c r="A1379" s="79"/>
      <c r="B1379" s="79"/>
    </row>
    <row r="1380" spans="1:2" ht="16.5">
      <c r="A1380" s="79"/>
      <c r="B1380" s="79"/>
    </row>
    <row r="1381" spans="1:2" ht="16.5">
      <c r="A1381" s="79"/>
      <c r="B1381" s="79"/>
    </row>
    <row r="1382" spans="1:2" ht="16.5">
      <c r="A1382" s="79"/>
      <c r="B1382" s="79"/>
    </row>
    <row r="1383" spans="1:2" ht="16.5">
      <c r="A1383" s="79"/>
      <c r="B1383" s="79"/>
    </row>
    <row r="1384" spans="1:2" ht="16.5">
      <c r="A1384" s="79"/>
      <c r="B1384" s="79"/>
    </row>
    <row r="1385" spans="1:2" ht="16.5">
      <c r="A1385" s="79"/>
      <c r="B1385" s="79"/>
    </row>
    <row r="1386" spans="1:2" ht="16.5">
      <c r="A1386" s="79"/>
      <c r="B1386" s="79"/>
    </row>
    <row r="1387" spans="1:2" ht="16.5">
      <c r="A1387" s="79"/>
      <c r="B1387" s="79"/>
    </row>
    <row r="1388" spans="1:2" ht="16.5">
      <c r="A1388" s="79"/>
      <c r="B1388" s="79"/>
    </row>
    <row r="1389" spans="1:2" ht="16.5">
      <c r="A1389" s="79"/>
      <c r="B1389" s="79"/>
    </row>
    <row r="1390" spans="1:2" ht="16.5">
      <c r="A1390" s="79"/>
      <c r="B1390" s="79"/>
    </row>
    <row r="1391" spans="1:2" ht="16.5">
      <c r="A1391" s="79"/>
      <c r="B1391" s="79"/>
    </row>
    <row r="1392" spans="1:2" ht="16.5">
      <c r="A1392" s="79"/>
      <c r="B1392" s="79"/>
    </row>
    <row r="1393" spans="1:2" ht="16.5">
      <c r="A1393" s="79"/>
      <c r="B1393" s="79"/>
    </row>
    <row r="1394" spans="1:2" ht="16.5">
      <c r="A1394" s="79"/>
      <c r="B1394" s="79"/>
    </row>
    <row r="1395" spans="1:2" ht="16.5">
      <c r="A1395" s="79"/>
      <c r="B1395" s="79"/>
    </row>
    <row r="1396" spans="1:2" ht="16.5">
      <c r="A1396" s="79"/>
      <c r="B1396" s="79"/>
    </row>
    <row r="1397" spans="1:2" ht="16.5">
      <c r="A1397" s="79"/>
      <c r="B1397" s="79"/>
    </row>
    <row r="1398" spans="1:2" ht="16.5">
      <c r="A1398" s="79"/>
      <c r="B1398" s="79"/>
    </row>
    <row r="1399" spans="1:2" ht="16.5">
      <c r="A1399" s="79"/>
      <c r="B1399" s="79"/>
    </row>
    <row r="1400" spans="1:2" ht="16.5">
      <c r="A1400" s="79"/>
      <c r="B1400" s="79"/>
    </row>
    <row r="1401" spans="1:2" ht="16.5">
      <c r="A1401" s="79"/>
      <c r="B1401" s="79"/>
    </row>
    <row r="1402" spans="1:2" ht="16.5">
      <c r="A1402" s="79"/>
      <c r="B1402" s="79"/>
    </row>
    <row r="1403" spans="1:2" ht="16.5">
      <c r="A1403" s="79"/>
      <c r="B1403" s="79"/>
    </row>
    <row r="1404" spans="1:2" ht="16.5">
      <c r="A1404" s="79"/>
      <c r="B1404" s="79"/>
    </row>
    <row r="1405" spans="1:2" ht="16.5">
      <c r="A1405" s="79"/>
      <c r="B1405" s="79"/>
    </row>
    <row r="1406" spans="1:2" ht="16.5">
      <c r="A1406" s="79"/>
      <c r="B1406" s="79"/>
    </row>
    <row r="1407" spans="1:2" ht="16.5">
      <c r="A1407" s="79"/>
      <c r="B1407" s="79"/>
    </row>
    <row r="1408" spans="1:2" ht="16.5">
      <c r="A1408" s="79"/>
      <c r="B1408" s="79"/>
    </row>
    <row r="1409" spans="1:2" ht="16.5">
      <c r="A1409" s="79"/>
      <c r="B1409" s="79"/>
    </row>
    <row r="1410" spans="1:2" ht="16.5">
      <c r="A1410" s="79"/>
      <c r="B1410" s="79"/>
    </row>
    <row r="1411" spans="1:2" ht="16.5">
      <c r="A1411" s="79"/>
      <c r="B1411" s="79"/>
    </row>
    <row r="1412" spans="1:2" ht="16.5">
      <c r="A1412" s="79"/>
      <c r="B1412" s="79"/>
    </row>
    <row r="1413" spans="1:2" ht="16.5">
      <c r="A1413" s="79"/>
      <c r="B1413" s="79"/>
    </row>
    <row r="1414" spans="1:2" ht="16.5">
      <c r="A1414" s="79"/>
      <c r="B1414" s="79"/>
    </row>
    <row r="1415" spans="1:2" ht="16.5">
      <c r="A1415" s="79"/>
      <c r="B1415" s="79"/>
    </row>
    <row r="1416" spans="1:2" ht="16.5">
      <c r="A1416" s="79"/>
      <c r="B1416" s="79"/>
    </row>
    <row r="1417" spans="1:2" ht="16.5">
      <c r="A1417" s="79"/>
      <c r="B1417" s="79"/>
    </row>
    <row r="1418" spans="1:2" ht="16.5">
      <c r="A1418" s="79"/>
      <c r="B1418" s="79"/>
    </row>
    <row r="1419" spans="1:2" ht="16.5">
      <c r="A1419" s="79"/>
      <c r="B1419" s="79"/>
    </row>
    <row r="1420" spans="1:2" ht="16.5">
      <c r="A1420" s="79"/>
      <c r="B1420" s="79"/>
    </row>
    <row r="1421" spans="1:2" ht="16.5">
      <c r="A1421" s="79"/>
      <c r="B1421" s="79"/>
    </row>
    <row r="1422" spans="1:2" ht="16.5">
      <c r="A1422" s="79"/>
      <c r="B1422" s="79"/>
    </row>
    <row r="1423" spans="1:2" ht="16.5">
      <c r="A1423" s="79"/>
      <c r="B1423" s="79"/>
    </row>
    <row r="1424" spans="1:2" ht="16.5">
      <c r="A1424" s="79"/>
      <c r="B1424" s="79"/>
    </row>
    <row r="1425" spans="1:2" ht="16.5">
      <c r="A1425" s="79"/>
      <c r="B1425" s="79"/>
    </row>
    <row r="1426" spans="1:2" ht="16.5">
      <c r="A1426" s="79"/>
      <c r="B1426" s="79"/>
    </row>
    <row r="1427" spans="1:2" ht="16.5">
      <c r="A1427" s="79"/>
      <c r="B1427" s="79"/>
    </row>
    <row r="1428" spans="1:2" ht="16.5">
      <c r="A1428" s="79"/>
      <c r="B1428" s="79"/>
    </row>
    <row r="1429" spans="1:2" ht="16.5">
      <c r="A1429" s="79"/>
      <c r="B1429" s="79"/>
    </row>
    <row r="1430" spans="1:2" ht="16.5">
      <c r="A1430" s="79"/>
      <c r="B1430" s="79"/>
    </row>
    <row r="1431" spans="1:2" ht="16.5">
      <c r="A1431" s="79"/>
      <c r="B1431" s="79"/>
    </row>
    <row r="1432" spans="1:2" ht="16.5">
      <c r="A1432" s="79"/>
      <c r="B1432" s="79"/>
    </row>
    <row r="1433" spans="1:2" ht="16.5">
      <c r="A1433" s="79"/>
      <c r="B1433" s="79"/>
    </row>
    <row r="1434" spans="1:2" ht="16.5">
      <c r="A1434" s="79"/>
      <c r="B1434" s="79"/>
    </row>
    <row r="1435" spans="1:2" ht="16.5">
      <c r="A1435" s="79"/>
      <c r="B1435" s="79"/>
    </row>
    <row r="1436" spans="1:2" ht="16.5">
      <c r="A1436" s="79"/>
      <c r="B1436" s="79"/>
    </row>
    <row r="1437" spans="1:2" ht="16.5">
      <c r="A1437" s="79"/>
      <c r="B1437" s="79"/>
    </row>
    <row r="1438" spans="1:2" ht="16.5">
      <c r="A1438" s="79"/>
      <c r="B1438" s="79"/>
    </row>
    <row r="1439" spans="1:2" ht="16.5">
      <c r="A1439" s="79"/>
      <c r="B1439" s="79"/>
    </row>
    <row r="1440" spans="1:2" ht="16.5">
      <c r="A1440" s="79"/>
      <c r="B1440" s="79"/>
    </row>
    <row r="1441" spans="1:2" ht="16.5">
      <c r="A1441" s="79"/>
      <c r="B1441" s="79"/>
    </row>
    <row r="1442" spans="1:2" ht="16.5">
      <c r="A1442" s="79"/>
      <c r="B1442" s="79"/>
    </row>
    <row r="1443" spans="1:2" ht="16.5">
      <c r="A1443" s="79"/>
      <c r="B1443" s="79"/>
    </row>
    <row r="1444" spans="1:2" ht="16.5">
      <c r="A1444" s="79"/>
      <c r="B1444" s="79"/>
    </row>
    <row r="1445" spans="1:2" ht="16.5">
      <c r="A1445" s="79"/>
      <c r="B1445" s="79"/>
    </row>
    <row r="1446" spans="1:2" ht="16.5">
      <c r="A1446" s="79"/>
      <c r="B1446" s="79"/>
    </row>
    <row r="1447" spans="1:2" ht="16.5">
      <c r="A1447" s="79"/>
      <c r="B1447" s="79"/>
    </row>
    <row r="1448" spans="1:2" ht="16.5">
      <c r="A1448" s="79"/>
      <c r="B1448" s="79"/>
    </row>
    <row r="1449" spans="1:2" ht="16.5">
      <c r="A1449" s="79"/>
      <c r="B1449" s="79"/>
    </row>
    <row r="1450" spans="1:2" ht="16.5">
      <c r="A1450" s="79"/>
      <c r="B1450" s="79"/>
    </row>
    <row r="1451" spans="1:2" ht="16.5">
      <c r="A1451" s="79"/>
      <c r="B1451" s="79"/>
    </row>
    <row r="1452" spans="1:2" ht="16.5">
      <c r="A1452" s="79"/>
      <c r="B1452" s="79"/>
    </row>
    <row r="1453" spans="1:2" ht="16.5">
      <c r="A1453" s="79"/>
      <c r="B1453" s="79"/>
    </row>
    <row r="1454" spans="1:2" ht="16.5">
      <c r="A1454" s="79"/>
      <c r="B1454" s="79"/>
    </row>
    <row r="1455" spans="1:2" ht="16.5">
      <c r="A1455" s="79"/>
      <c r="B1455" s="79"/>
    </row>
    <row r="1456" spans="1:2" ht="16.5">
      <c r="A1456" s="79"/>
      <c r="B1456" s="79"/>
    </row>
    <row r="1457" spans="1:2" ht="16.5">
      <c r="A1457" s="79"/>
      <c r="B1457" s="79"/>
    </row>
    <row r="1458" spans="1:2" ht="16.5">
      <c r="A1458" s="79"/>
      <c r="B1458" s="79"/>
    </row>
    <row r="1459" spans="1:2" ht="16.5">
      <c r="A1459" s="79"/>
      <c r="B1459" s="79"/>
    </row>
    <row r="1460" spans="1:2" ht="16.5">
      <c r="A1460" s="79"/>
      <c r="B1460" s="79"/>
    </row>
    <row r="1461" spans="1:2" ht="16.5">
      <c r="A1461" s="79"/>
      <c r="B1461" s="79"/>
    </row>
    <row r="1462" spans="1:2" ht="16.5">
      <c r="A1462" s="79"/>
      <c r="B1462" s="79"/>
    </row>
    <row r="1463" spans="1:2" ht="16.5">
      <c r="A1463" s="79"/>
      <c r="B1463" s="79"/>
    </row>
    <row r="1464" spans="1:2" ht="16.5">
      <c r="A1464" s="79"/>
      <c r="B1464" s="79"/>
    </row>
    <row r="1465" spans="1:2" ht="16.5">
      <c r="A1465" s="79"/>
      <c r="B1465" s="79"/>
    </row>
    <row r="1466" spans="1:2" ht="16.5">
      <c r="A1466" s="79"/>
      <c r="B1466" s="79"/>
    </row>
    <row r="1467" spans="1:2" ht="16.5">
      <c r="A1467" s="79"/>
      <c r="B1467" s="79"/>
    </row>
    <row r="1468" spans="1:2" ht="16.5">
      <c r="A1468" s="79"/>
      <c r="B1468" s="79"/>
    </row>
    <row r="1469" spans="1:2" ht="16.5">
      <c r="A1469" s="79"/>
      <c r="B1469" s="79"/>
    </row>
    <row r="1470" spans="1:2" ht="16.5">
      <c r="A1470" s="79"/>
      <c r="B1470" s="79"/>
    </row>
    <row r="1471" spans="1:2" ht="16.5">
      <c r="A1471" s="79"/>
      <c r="B1471" s="79"/>
    </row>
    <row r="1472" spans="1:2" ht="16.5">
      <c r="A1472" s="79"/>
      <c r="B1472" s="79"/>
    </row>
    <row r="1473" spans="1:2" ht="16.5">
      <c r="A1473" s="79"/>
      <c r="B1473" s="79"/>
    </row>
    <row r="1474" spans="1:2" ht="16.5">
      <c r="A1474" s="79"/>
      <c r="B1474" s="79"/>
    </row>
    <row r="1475" spans="1:2" ht="16.5">
      <c r="A1475" s="79"/>
      <c r="B1475" s="79"/>
    </row>
    <row r="1476" spans="1:2" ht="16.5">
      <c r="A1476" s="79"/>
      <c r="B1476" s="79"/>
    </row>
    <row r="1477" spans="1:2" ht="16.5">
      <c r="A1477" s="79"/>
      <c r="B1477" s="79"/>
    </row>
    <row r="1478" spans="1:2" ht="16.5">
      <c r="A1478" s="79"/>
      <c r="B1478" s="79"/>
    </row>
    <row r="1479" spans="1:2" ht="16.5">
      <c r="A1479" s="79"/>
      <c r="B1479" s="79"/>
    </row>
    <row r="1480" spans="1:2" ht="16.5">
      <c r="A1480" s="79"/>
      <c r="B1480" s="79"/>
    </row>
    <row r="1481" spans="1:2" ht="16.5">
      <c r="A1481" s="79"/>
      <c r="B1481" s="79"/>
    </row>
    <row r="1482" spans="1:2" ht="16.5">
      <c r="A1482" s="79"/>
      <c r="B1482" s="79"/>
    </row>
    <row r="1483" spans="1:2" ht="16.5">
      <c r="A1483" s="79"/>
      <c r="B1483" s="79"/>
    </row>
    <row r="1484" spans="1:2" ht="16.5">
      <c r="A1484" s="79"/>
      <c r="B1484" s="79"/>
    </row>
    <row r="1485" spans="1:2" ht="16.5">
      <c r="A1485" s="79"/>
      <c r="B1485" s="79"/>
    </row>
    <row r="1486" spans="1:2" ht="16.5">
      <c r="A1486" s="79"/>
      <c r="B1486" s="79"/>
    </row>
    <row r="1487" spans="1:2" ht="16.5">
      <c r="A1487" s="79"/>
      <c r="B1487" s="79"/>
    </row>
    <row r="1488" spans="1:2" ht="16.5">
      <c r="A1488" s="79"/>
      <c r="B1488" s="79"/>
    </row>
    <row r="1489" spans="1:2" ht="16.5">
      <c r="A1489" s="79"/>
      <c r="B1489" s="79"/>
    </row>
    <row r="1490" spans="1:2" ht="16.5">
      <c r="A1490" s="79"/>
      <c r="B1490" s="79"/>
    </row>
    <row r="1491" spans="1:2" ht="16.5">
      <c r="A1491" s="79"/>
      <c r="B1491" s="79"/>
    </row>
    <row r="1492" spans="1:2" ht="16.5">
      <c r="A1492" s="79"/>
      <c r="B1492" s="79"/>
    </row>
    <row r="1493" spans="1:2" ht="16.5">
      <c r="A1493" s="79"/>
      <c r="B1493" s="79"/>
    </row>
    <row r="1494" spans="1:2" ht="16.5">
      <c r="A1494" s="79"/>
      <c r="B1494" s="79"/>
    </row>
    <row r="1495" spans="1:2" ht="16.5">
      <c r="A1495" s="79"/>
      <c r="B1495" s="79"/>
    </row>
    <row r="1496" spans="1:2" ht="16.5">
      <c r="A1496" s="79"/>
      <c r="B1496" s="79"/>
    </row>
    <row r="1497" spans="1:2" ht="16.5">
      <c r="A1497" s="79"/>
      <c r="B1497" s="79"/>
    </row>
    <row r="1498" spans="1:2" ht="16.5">
      <c r="A1498" s="79"/>
      <c r="B1498" s="79"/>
    </row>
    <row r="1499" spans="1:2" ht="16.5">
      <c r="A1499" s="79"/>
      <c r="B1499" s="79"/>
    </row>
    <row r="1500" spans="1:2" ht="16.5">
      <c r="A1500" s="79"/>
      <c r="B1500" s="79"/>
    </row>
    <row r="1501" spans="1:2" ht="16.5">
      <c r="A1501" s="79"/>
      <c r="B1501" s="79"/>
    </row>
    <row r="1502" spans="1:2" ht="16.5">
      <c r="A1502" s="79"/>
      <c r="B1502" s="79"/>
    </row>
    <row r="1503" spans="1:2" ht="16.5">
      <c r="A1503" s="79"/>
      <c r="B1503" s="79"/>
    </row>
    <row r="1504" spans="1:2" ht="16.5">
      <c r="A1504" s="79"/>
      <c r="B1504" s="79"/>
    </row>
    <row r="1505" spans="1:2" ht="16.5">
      <c r="A1505" s="79"/>
      <c r="B1505" s="79"/>
    </row>
    <row r="1506" spans="1:2" ht="16.5">
      <c r="A1506" s="79"/>
      <c r="B1506" s="79"/>
    </row>
    <row r="1507" spans="1:2" ht="16.5">
      <c r="A1507" s="79"/>
      <c r="B1507" s="79"/>
    </row>
    <row r="1508" spans="1:2" ht="16.5">
      <c r="A1508" s="79"/>
      <c r="B1508" s="79"/>
    </row>
    <row r="1509" spans="1:2" ht="16.5">
      <c r="A1509" s="79"/>
      <c r="B1509" s="79"/>
    </row>
    <row r="1510" spans="1:2" ht="16.5">
      <c r="A1510" s="79"/>
      <c r="B1510" s="79"/>
    </row>
    <row r="1511" spans="1:2" ht="16.5">
      <c r="A1511" s="79"/>
      <c r="B1511" s="79"/>
    </row>
    <row r="1512" spans="1:2" ht="16.5">
      <c r="A1512" s="79"/>
      <c r="B1512" s="79"/>
    </row>
    <row r="1513" spans="1:2" ht="16.5">
      <c r="A1513" s="79"/>
      <c r="B1513" s="79"/>
    </row>
    <row r="1514" spans="1:2" ht="16.5">
      <c r="A1514" s="79"/>
      <c r="B1514" s="79"/>
    </row>
    <row r="1515" spans="1:2" ht="16.5">
      <c r="A1515" s="79"/>
      <c r="B1515" s="79"/>
    </row>
    <row r="1516" spans="1:2" ht="16.5">
      <c r="A1516" s="79"/>
      <c r="B1516" s="79"/>
    </row>
    <row r="1517" spans="1:2" ht="16.5">
      <c r="A1517" s="79"/>
      <c r="B1517" s="79"/>
    </row>
    <row r="1518" spans="1:2" ht="16.5">
      <c r="A1518" s="79"/>
      <c r="B1518" s="79"/>
    </row>
    <row r="1519" spans="1:2" ht="16.5">
      <c r="A1519" s="79"/>
      <c r="B1519" s="79"/>
    </row>
    <row r="1520" spans="1:2" ht="16.5">
      <c r="A1520" s="79"/>
      <c r="B1520" s="79"/>
    </row>
    <row r="1521" spans="1:2" ht="16.5">
      <c r="A1521" s="79"/>
      <c r="B1521" s="79"/>
    </row>
    <row r="1522" spans="1:2" ht="16.5">
      <c r="A1522" s="79"/>
      <c r="B1522" s="79"/>
    </row>
    <row r="1523" spans="1:2" ht="16.5">
      <c r="A1523" s="79"/>
      <c r="B1523" s="79"/>
    </row>
    <row r="1524" spans="1:2" ht="16.5">
      <c r="A1524" s="79"/>
      <c r="B1524" s="79"/>
    </row>
    <row r="1525" spans="1:2" ht="16.5">
      <c r="A1525" s="79"/>
      <c r="B1525" s="79"/>
    </row>
    <row r="1526" spans="1:2" ht="16.5">
      <c r="A1526" s="79"/>
      <c r="B1526" s="79"/>
    </row>
    <row r="1527" spans="1:2" ht="16.5">
      <c r="A1527" s="79"/>
      <c r="B1527" s="79"/>
    </row>
    <row r="1528" spans="1:2" ht="16.5">
      <c r="A1528" s="79"/>
      <c r="B1528" s="79"/>
    </row>
    <row r="1529" spans="1:2" ht="16.5">
      <c r="A1529" s="79"/>
      <c r="B1529" s="79"/>
    </row>
    <row r="1530" spans="1:2" ht="16.5">
      <c r="A1530" s="79"/>
      <c r="B1530" s="79"/>
    </row>
    <row r="1531" spans="1:2" ht="16.5">
      <c r="A1531" s="79"/>
      <c r="B1531" s="79"/>
    </row>
    <row r="1532" spans="1:2" ht="16.5">
      <c r="A1532" s="79"/>
      <c r="B1532" s="79"/>
    </row>
    <row r="1533" spans="1:2" ht="16.5">
      <c r="A1533" s="79"/>
      <c r="B1533" s="79"/>
    </row>
    <row r="1534" spans="1:2" ht="16.5">
      <c r="A1534" s="79"/>
      <c r="B1534" s="79"/>
    </row>
    <row r="1535" spans="1:2" ht="16.5">
      <c r="A1535" s="79"/>
      <c r="B1535" s="79"/>
    </row>
    <row r="1536" spans="1:2" ht="16.5">
      <c r="A1536" s="79"/>
      <c r="B1536" s="79"/>
    </row>
    <row r="1537" spans="1:2" ht="16.5">
      <c r="A1537" s="79"/>
      <c r="B1537" s="79"/>
    </row>
    <row r="1538" spans="1:2" ht="16.5">
      <c r="A1538" s="79"/>
      <c r="B1538" s="79"/>
    </row>
    <row r="1539" spans="1:2" ht="16.5">
      <c r="A1539" s="79"/>
      <c r="B1539" s="79"/>
    </row>
    <row r="1540" spans="1:2" ht="16.5">
      <c r="A1540" s="79"/>
      <c r="B1540" s="79"/>
    </row>
    <row r="1541" spans="1:2" ht="16.5">
      <c r="A1541" s="79"/>
      <c r="B1541" s="79"/>
    </row>
    <row r="1542" spans="1:2" ht="16.5">
      <c r="A1542" s="79"/>
      <c r="B1542" s="79"/>
    </row>
    <row r="1543" spans="1:2" ht="16.5">
      <c r="A1543" s="79"/>
      <c r="B1543" s="79"/>
    </row>
    <row r="1544" spans="1:2" ht="16.5">
      <c r="A1544" s="79"/>
      <c r="B1544" s="79"/>
    </row>
    <row r="1545" spans="1:2" ht="16.5">
      <c r="A1545" s="79"/>
      <c r="B1545" s="79"/>
    </row>
    <row r="1546" spans="1:2" ht="16.5">
      <c r="A1546" s="79"/>
      <c r="B1546" s="79"/>
    </row>
    <row r="1547" spans="1:2" ht="16.5">
      <c r="A1547" s="79"/>
      <c r="B1547" s="79"/>
    </row>
    <row r="1548" spans="1:2" ht="16.5">
      <c r="A1548" s="79"/>
      <c r="B1548" s="79"/>
    </row>
    <row r="1549" spans="1:2" ht="16.5">
      <c r="A1549" s="79"/>
      <c r="B1549" s="79"/>
    </row>
    <row r="1550" spans="1:2" ht="16.5">
      <c r="A1550" s="79"/>
      <c r="B1550" s="79"/>
    </row>
    <row r="1551" spans="1:2" ht="16.5">
      <c r="A1551" s="79"/>
      <c r="B1551" s="79"/>
    </row>
    <row r="1552" spans="1:2" ht="16.5">
      <c r="A1552" s="79"/>
      <c r="B1552" s="79"/>
    </row>
    <row r="1553" spans="1:2" ht="16.5">
      <c r="A1553" s="79"/>
      <c r="B1553" s="79"/>
    </row>
    <row r="1554" spans="1:2" ht="16.5">
      <c r="A1554" s="79"/>
      <c r="B1554" s="79"/>
    </row>
    <row r="1555" spans="1:2" ht="16.5">
      <c r="A1555" s="79"/>
      <c r="B1555" s="79"/>
    </row>
    <row r="1556" spans="1:2" ht="16.5">
      <c r="A1556" s="79"/>
      <c r="B1556" s="79"/>
    </row>
    <row r="1557" spans="1:2" ht="16.5">
      <c r="A1557" s="79"/>
      <c r="B1557" s="79"/>
    </row>
    <row r="1558" spans="1:2" ht="16.5">
      <c r="A1558" s="79"/>
      <c r="B1558" s="79"/>
    </row>
    <row r="1559" spans="1:2" ht="16.5">
      <c r="A1559" s="79"/>
      <c r="B1559" s="79"/>
    </row>
    <row r="1560" spans="1:2" ht="16.5">
      <c r="A1560" s="79"/>
      <c r="B1560" s="79"/>
    </row>
    <row r="1561" spans="1:2" ht="16.5">
      <c r="A1561" s="79"/>
      <c r="B1561" s="79"/>
    </row>
    <row r="1562" spans="1:2" ht="16.5">
      <c r="A1562" s="79"/>
      <c r="B1562" s="79"/>
    </row>
    <row r="1563" spans="1:2" ht="16.5">
      <c r="A1563" s="79"/>
      <c r="B1563" s="79"/>
    </row>
    <row r="1564" spans="1:2" ht="16.5">
      <c r="A1564" s="79"/>
      <c r="B1564" s="79"/>
    </row>
    <row r="1565" spans="1:2" ht="16.5">
      <c r="A1565" s="79"/>
      <c r="B1565" s="79"/>
    </row>
    <row r="1566" spans="1:2" ht="16.5">
      <c r="A1566" s="79"/>
      <c r="B1566" s="79"/>
    </row>
    <row r="1567" spans="1:2" ht="16.5">
      <c r="A1567" s="79"/>
      <c r="B1567" s="79"/>
    </row>
    <row r="1568" spans="1:2" ht="16.5">
      <c r="A1568" s="79"/>
      <c r="B1568" s="79"/>
    </row>
    <row r="1569" spans="1:2" ht="16.5">
      <c r="A1569" s="79"/>
      <c r="B1569" s="79"/>
    </row>
    <row r="1570" spans="1:2" ht="16.5">
      <c r="A1570" s="79"/>
      <c r="B1570" s="79"/>
    </row>
    <row r="1571" spans="1:2" ht="16.5">
      <c r="A1571" s="79"/>
      <c r="B1571" s="79"/>
    </row>
    <row r="1572" spans="1:2" ht="16.5">
      <c r="A1572" s="79"/>
      <c r="B1572" s="79"/>
    </row>
    <row r="1573" spans="1:2" ht="16.5">
      <c r="A1573" s="79"/>
      <c r="B1573" s="79"/>
    </row>
    <row r="1574" spans="1:2" ht="16.5">
      <c r="A1574" s="79"/>
      <c r="B1574" s="79"/>
    </row>
    <row r="1575" spans="1:2" ht="16.5">
      <c r="A1575" s="79"/>
      <c r="B1575" s="79"/>
    </row>
    <row r="1576" spans="1:2" ht="16.5">
      <c r="A1576" s="79"/>
      <c r="B1576" s="79"/>
    </row>
    <row r="1577" spans="1:2" ht="16.5">
      <c r="A1577" s="79"/>
      <c r="B1577" s="79"/>
    </row>
    <row r="1578" spans="1:2" ht="16.5">
      <c r="A1578" s="79"/>
      <c r="B1578" s="79"/>
    </row>
    <row r="1579" spans="1:2" ht="16.5">
      <c r="A1579" s="79"/>
      <c r="B1579" s="79"/>
    </row>
    <row r="1580" spans="1:2" ht="16.5">
      <c r="A1580" s="79"/>
      <c r="B1580" s="79"/>
    </row>
    <row r="1581" spans="1:2" ht="16.5">
      <c r="A1581" s="79"/>
      <c r="B1581" s="79"/>
    </row>
    <row r="1582" spans="1:2" ht="16.5">
      <c r="A1582" s="79"/>
      <c r="B1582" s="79"/>
    </row>
    <row r="1583" spans="1:2" ht="16.5">
      <c r="A1583" s="79"/>
      <c r="B1583" s="79"/>
    </row>
    <row r="1584" spans="1:2" ht="16.5">
      <c r="A1584" s="79"/>
      <c r="B1584" s="79"/>
    </row>
    <row r="1585" spans="1:2" ht="16.5">
      <c r="A1585" s="79"/>
      <c r="B1585" s="79"/>
    </row>
    <row r="1586" spans="1:2" ht="16.5">
      <c r="A1586" s="79"/>
      <c r="B1586" s="79"/>
    </row>
    <row r="1587" spans="1:2" ht="16.5">
      <c r="A1587" s="79"/>
      <c r="B1587" s="79"/>
    </row>
    <row r="1588" spans="1:2" ht="16.5">
      <c r="A1588" s="79"/>
      <c r="B1588" s="79"/>
    </row>
    <row r="1589" spans="1:2" ht="16.5">
      <c r="A1589" s="79"/>
      <c r="B1589" s="79"/>
    </row>
    <row r="1590" spans="1:2" ht="16.5">
      <c r="A1590" s="79"/>
      <c r="B1590" s="79"/>
    </row>
    <row r="1591" spans="1:2" ht="16.5">
      <c r="A1591" s="79"/>
      <c r="B1591" s="79"/>
    </row>
    <row r="1592" spans="1:2" ht="16.5">
      <c r="A1592" s="79"/>
      <c r="B1592" s="79"/>
    </row>
    <row r="1593" spans="1:2" ht="16.5">
      <c r="A1593" s="79"/>
      <c r="B1593" s="79"/>
    </row>
    <row r="1594" spans="1:2" ht="16.5">
      <c r="A1594" s="79"/>
      <c r="B1594" s="79"/>
    </row>
    <row r="1595" spans="1:2" ht="16.5">
      <c r="A1595" s="79"/>
      <c r="B1595" s="79"/>
    </row>
    <row r="1596" spans="1:2" ht="16.5">
      <c r="A1596" s="79"/>
      <c r="B1596" s="79"/>
    </row>
    <row r="1597" spans="1:2" ht="16.5">
      <c r="A1597" s="79"/>
      <c r="B1597" s="79"/>
    </row>
    <row r="1598" spans="1:2" ht="16.5">
      <c r="A1598" s="79"/>
      <c r="B1598" s="79"/>
    </row>
    <row r="1599" spans="1:2" ht="16.5">
      <c r="A1599" s="79"/>
      <c r="B1599" s="79"/>
    </row>
    <row r="1600" spans="1:2" ht="16.5">
      <c r="A1600" s="79"/>
      <c r="B1600" s="79"/>
    </row>
    <row r="1601" spans="1:2" ht="16.5">
      <c r="A1601" s="79"/>
      <c r="B1601" s="79"/>
    </row>
    <row r="1602" spans="1:2" ht="16.5">
      <c r="A1602" s="79"/>
      <c r="B1602" s="79"/>
    </row>
    <row r="1603" spans="1:2" ht="16.5">
      <c r="A1603" s="79"/>
      <c r="B1603" s="79"/>
    </row>
    <row r="1604" spans="1:2" ht="16.5">
      <c r="A1604" s="79"/>
      <c r="B1604" s="79"/>
    </row>
    <row r="1605" spans="1:2" ht="16.5">
      <c r="A1605" s="79"/>
      <c r="B1605" s="79"/>
    </row>
    <row r="1606" spans="1:2" ht="16.5">
      <c r="A1606" s="79"/>
      <c r="B1606" s="79"/>
    </row>
    <row r="1607" spans="1:2" ht="16.5">
      <c r="A1607" s="79"/>
      <c r="B1607" s="79"/>
    </row>
    <row r="1608" spans="1:2" ht="16.5">
      <c r="A1608" s="79"/>
      <c r="B1608" s="79"/>
    </row>
    <row r="1609" spans="1:2" ht="16.5">
      <c r="A1609" s="79"/>
      <c r="B1609" s="79"/>
    </row>
    <row r="1610" spans="1:2" ht="16.5">
      <c r="A1610" s="79"/>
      <c r="B1610" s="79"/>
    </row>
    <row r="1611" spans="1:2" ht="16.5">
      <c r="A1611" s="79"/>
      <c r="B1611" s="79"/>
    </row>
    <row r="1612" spans="1:2" ht="16.5">
      <c r="A1612" s="79"/>
      <c r="B1612" s="79"/>
    </row>
    <row r="1613" spans="1:2" ht="16.5">
      <c r="A1613" s="79"/>
      <c r="B1613" s="79"/>
    </row>
    <row r="1614" spans="1:2" ht="16.5">
      <c r="A1614" s="79"/>
      <c r="B1614" s="79"/>
    </row>
    <row r="1615" spans="1:2" ht="16.5">
      <c r="A1615" s="79"/>
      <c r="B1615" s="79"/>
    </row>
    <row r="1616" spans="1:2" ht="16.5">
      <c r="A1616" s="79"/>
      <c r="B1616" s="79"/>
    </row>
    <row r="1617" spans="1:2" ht="16.5">
      <c r="A1617" s="79"/>
      <c r="B1617" s="79"/>
    </row>
    <row r="1618" spans="1:2" ht="16.5">
      <c r="A1618" s="79"/>
      <c r="B1618" s="79"/>
    </row>
    <row r="1619" spans="1:2" ht="16.5">
      <c r="A1619" s="79"/>
      <c r="B1619" s="79"/>
    </row>
    <row r="1620" spans="1:2" ht="16.5">
      <c r="A1620" s="79"/>
      <c r="B1620" s="79"/>
    </row>
    <row r="1621" spans="1:2" ht="16.5">
      <c r="A1621" s="79"/>
      <c r="B1621" s="79"/>
    </row>
    <row r="1622" spans="1:2" ht="16.5">
      <c r="A1622" s="79"/>
      <c r="B1622" s="79"/>
    </row>
    <row r="1623" spans="1:2" ht="16.5">
      <c r="A1623" s="79"/>
      <c r="B1623" s="79"/>
    </row>
    <row r="1624" spans="1:2" ht="16.5">
      <c r="A1624" s="79"/>
      <c r="B1624" s="79"/>
    </row>
    <row r="1625" spans="1:2" ht="16.5">
      <c r="A1625" s="79"/>
      <c r="B1625" s="79"/>
    </row>
    <row r="1626" spans="1:2" ht="16.5">
      <c r="A1626" s="79"/>
      <c r="B1626" s="79"/>
    </row>
    <row r="1627" spans="1:2" ht="16.5">
      <c r="A1627" s="79"/>
      <c r="B1627" s="79"/>
    </row>
    <row r="1628" spans="1:2" ht="16.5">
      <c r="A1628" s="79"/>
      <c r="B1628" s="79"/>
    </row>
    <row r="1629" spans="1:2" ht="16.5">
      <c r="A1629" s="79"/>
      <c r="B1629" s="79"/>
    </row>
    <row r="1630" spans="1:2" ht="16.5">
      <c r="A1630" s="79"/>
      <c r="B1630" s="79"/>
    </row>
    <row r="1631" spans="1:2" ht="16.5">
      <c r="A1631" s="79"/>
      <c r="B1631" s="79"/>
    </row>
    <row r="1632" spans="1:2" ht="16.5">
      <c r="A1632" s="79"/>
      <c r="B1632" s="79"/>
    </row>
    <row r="1633" spans="1:2" ht="16.5">
      <c r="A1633" s="79"/>
      <c r="B1633" s="79"/>
    </row>
    <row r="1634" spans="1:2" ht="16.5">
      <c r="A1634" s="79"/>
      <c r="B1634" s="79"/>
    </row>
    <row r="1635" spans="1:2" ht="16.5">
      <c r="A1635" s="79"/>
      <c r="B1635" s="79"/>
    </row>
    <row r="1636" spans="1:2" ht="16.5">
      <c r="A1636" s="79"/>
      <c r="B1636" s="79"/>
    </row>
    <row r="1637" spans="1:2" ht="16.5">
      <c r="A1637" s="79"/>
      <c r="B1637" s="79"/>
    </row>
    <row r="1638" spans="1:2" ht="16.5">
      <c r="A1638" s="79"/>
      <c r="B1638" s="79"/>
    </row>
    <row r="1639" spans="1:2" ht="16.5">
      <c r="A1639" s="79"/>
      <c r="B1639" s="79"/>
    </row>
    <row r="1640" spans="1:2" ht="16.5">
      <c r="A1640" s="79"/>
      <c r="B1640" s="79"/>
    </row>
    <row r="1641" spans="1:2" ht="16.5">
      <c r="A1641" s="79"/>
      <c r="B1641" s="79"/>
    </row>
    <row r="1642" spans="1:2" ht="16.5">
      <c r="A1642" s="79"/>
      <c r="B1642" s="79"/>
    </row>
    <row r="1643" spans="1:2" ht="16.5">
      <c r="A1643" s="79"/>
      <c r="B1643" s="79"/>
    </row>
    <row r="1644" spans="1:2" ht="16.5">
      <c r="A1644" s="79"/>
      <c r="B1644" s="79"/>
    </row>
    <row r="1645" spans="1:2" ht="16.5">
      <c r="A1645" s="79"/>
      <c r="B1645" s="79"/>
    </row>
    <row r="1646" spans="1:2" ht="16.5">
      <c r="A1646" s="79"/>
      <c r="B1646" s="79"/>
    </row>
    <row r="1647" spans="1:2" ht="16.5">
      <c r="A1647" s="79"/>
      <c r="B1647" s="79"/>
    </row>
    <row r="1648" spans="1:2" ht="16.5">
      <c r="A1648" s="79"/>
      <c r="B1648" s="79"/>
    </row>
    <row r="1649" spans="1:2" ht="16.5">
      <c r="A1649" s="79"/>
      <c r="B1649" s="79"/>
    </row>
    <row r="1650" spans="1:2" ht="16.5">
      <c r="A1650" s="79"/>
      <c r="B1650" s="79"/>
    </row>
    <row r="1651" spans="1:2" ht="16.5">
      <c r="A1651" s="79"/>
      <c r="B1651" s="79"/>
    </row>
    <row r="1652" spans="1:2" ht="16.5">
      <c r="A1652" s="79"/>
      <c r="B1652" s="79"/>
    </row>
    <row r="1653" spans="1:2" ht="16.5">
      <c r="A1653" s="79"/>
      <c r="B1653" s="79"/>
    </row>
    <row r="1654" spans="1:2" ht="16.5">
      <c r="A1654" s="79"/>
      <c r="B1654" s="79"/>
    </row>
    <row r="1655" spans="1:2" ht="16.5">
      <c r="A1655" s="79"/>
      <c r="B1655" s="79"/>
    </row>
    <row r="1656" spans="1:2" ht="16.5">
      <c r="A1656" s="79"/>
      <c r="B1656" s="79"/>
    </row>
    <row r="1657" spans="1:2" ht="16.5">
      <c r="A1657" s="79"/>
      <c r="B1657" s="79"/>
    </row>
    <row r="1658" spans="1:2" ht="16.5">
      <c r="A1658" s="79"/>
      <c r="B1658" s="79"/>
    </row>
    <row r="1659" spans="1:2" ht="16.5">
      <c r="A1659" s="79"/>
      <c r="B1659" s="79"/>
    </row>
    <row r="1660" spans="1:2" ht="16.5">
      <c r="A1660" s="79"/>
      <c r="B1660" s="79"/>
    </row>
    <row r="1661" spans="1:2" ht="16.5">
      <c r="A1661" s="79"/>
      <c r="B1661" s="79"/>
    </row>
    <row r="1662" spans="1:2" ht="16.5">
      <c r="A1662" s="79"/>
      <c r="B1662" s="79"/>
    </row>
    <row r="1663" spans="1:2" ht="16.5">
      <c r="A1663" s="79"/>
      <c r="B1663" s="79"/>
    </row>
    <row r="1664" spans="1:2" ht="16.5">
      <c r="A1664" s="79"/>
      <c r="B1664" s="79"/>
    </row>
    <row r="1665" spans="1:2" ht="16.5">
      <c r="A1665" s="79"/>
      <c r="B1665" s="79"/>
    </row>
    <row r="1666" spans="1:2" ht="16.5">
      <c r="A1666" s="79"/>
      <c r="B1666" s="79"/>
    </row>
    <row r="1667" spans="1:2" ht="16.5">
      <c r="A1667" s="79"/>
      <c r="B1667" s="79"/>
    </row>
    <row r="1668" spans="1:2" ht="16.5">
      <c r="A1668" s="79"/>
      <c r="B1668" s="79"/>
    </row>
    <row r="1669" spans="1:2" ht="16.5">
      <c r="A1669" s="79"/>
      <c r="B1669" s="79"/>
    </row>
    <row r="1670" spans="1:2" ht="16.5">
      <c r="A1670" s="79"/>
      <c r="B1670" s="79"/>
    </row>
    <row r="1671" spans="1:2" ht="16.5">
      <c r="A1671" s="79"/>
      <c r="B1671" s="79"/>
    </row>
    <row r="1672" spans="1:2" ht="16.5">
      <c r="A1672" s="79"/>
      <c r="B1672" s="79"/>
    </row>
    <row r="1673" spans="1:2" ht="16.5">
      <c r="A1673" s="79"/>
      <c r="B1673" s="79"/>
    </row>
    <row r="1674" spans="1:2" ht="16.5">
      <c r="A1674" s="79"/>
      <c r="B1674" s="79"/>
    </row>
    <row r="1675" spans="1:2" ht="16.5">
      <c r="A1675" s="79"/>
      <c r="B1675" s="79"/>
    </row>
    <row r="1676" spans="1:2" ht="16.5">
      <c r="A1676" s="79"/>
      <c r="B1676" s="79"/>
    </row>
    <row r="1677" spans="1:2" ht="16.5">
      <c r="A1677" s="79"/>
      <c r="B1677" s="79"/>
    </row>
    <row r="1678" spans="1:2" ht="16.5">
      <c r="A1678" s="79"/>
      <c r="B1678" s="79"/>
    </row>
    <row r="1679" spans="1:2" ht="16.5">
      <c r="A1679" s="79"/>
      <c r="B1679" s="79"/>
    </row>
    <row r="1680" spans="1:2" ht="16.5">
      <c r="A1680" s="79"/>
      <c r="B1680" s="79"/>
    </row>
    <row r="1681" spans="1:2" ht="16.5">
      <c r="A1681" s="79"/>
      <c r="B1681" s="79"/>
    </row>
    <row r="1682" spans="1:2" ht="16.5">
      <c r="A1682" s="79"/>
      <c r="B1682" s="79"/>
    </row>
    <row r="1683" spans="1:2" ht="16.5">
      <c r="A1683" s="79"/>
      <c r="B1683" s="79"/>
    </row>
    <row r="1684" spans="1:2" ht="16.5">
      <c r="A1684" s="79"/>
      <c r="B1684" s="79"/>
    </row>
    <row r="1685" spans="1:2" ht="16.5">
      <c r="A1685" s="79"/>
      <c r="B1685" s="79"/>
    </row>
    <row r="1686" spans="1:2" ht="16.5">
      <c r="A1686" s="79"/>
      <c r="B1686" s="79"/>
    </row>
    <row r="1687" spans="1:2" ht="16.5">
      <c r="A1687" s="79"/>
      <c r="B1687" s="79"/>
    </row>
    <row r="1688" spans="1:2" ht="16.5">
      <c r="A1688" s="79"/>
      <c r="B1688" s="79"/>
    </row>
    <row r="1689" spans="1:2" ht="16.5">
      <c r="A1689" s="79"/>
      <c r="B1689" s="79"/>
    </row>
    <row r="1690" spans="1:2" ht="16.5">
      <c r="A1690" s="79"/>
      <c r="B1690" s="79"/>
    </row>
    <row r="1691" spans="1:2" ht="16.5">
      <c r="A1691" s="79"/>
      <c r="B1691" s="79"/>
    </row>
    <row r="1692" spans="1:2" ht="16.5">
      <c r="A1692" s="79"/>
      <c r="B1692" s="79"/>
    </row>
    <row r="1693" spans="1:2" ht="16.5">
      <c r="A1693" s="79"/>
      <c r="B1693" s="79"/>
    </row>
    <row r="1694" spans="1:2" ht="16.5">
      <c r="A1694" s="79"/>
      <c r="B1694" s="79"/>
    </row>
    <row r="1695" spans="1:2" ht="16.5">
      <c r="A1695" s="79"/>
      <c r="B1695" s="79"/>
    </row>
    <row r="1696" spans="1:2" ht="16.5">
      <c r="A1696" s="79"/>
      <c r="B1696" s="79"/>
    </row>
    <row r="1697" spans="1:2" ht="16.5">
      <c r="A1697" s="79"/>
      <c r="B1697" s="79"/>
    </row>
    <row r="1698" spans="1:2" ht="16.5">
      <c r="A1698" s="79"/>
      <c r="B1698" s="79"/>
    </row>
    <row r="1699" spans="1:2" ht="16.5">
      <c r="A1699" s="79"/>
      <c r="B1699" s="79"/>
    </row>
    <row r="1700" spans="1:2" ht="16.5">
      <c r="A1700" s="79"/>
      <c r="B1700" s="79"/>
    </row>
    <row r="1701" spans="1:2" ht="16.5">
      <c r="A1701" s="79"/>
      <c r="B1701" s="79"/>
    </row>
    <row r="1702" spans="1:2" ht="16.5">
      <c r="A1702" s="79"/>
      <c r="B1702" s="79"/>
    </row>
    <row r="1703" spans="1:2" ht="16.5">
      <c r="A1703" s="79"/>
      <c r="B1703" s="79"/>
    </row>
    <row r="1704" spans="1:2" ht="16.5">
      <c r="A1704" s="79"/>
      <c r="B1704" s="79"/>
    </row>
    <row r="1705" spans="1:2" ht="16.5">
      <c r="A1705" s="79"/>
      <c r="B1705" s="79"/>
    </row>
    <row r="1706" spans="1:2" ht="16.5">
      <c r="A1706" s="79"/>
      <c r="B1706" s="79"/>
    </row>
    <row r="1707" spans="1:2" ht="16.5">
      <c r="A1707" s="79"/>
      <c r="B1707" s="79"/>
    </row>
    <row r="1708" spans="1:2" ht="16.5">
      <c r="A1708" s="79"/>
      <c r="B1708" s="79"/>
    </row>
    <row r="1709" spans="1:2" ht="16.5">
      <c r="A1709" s="79"/>
      <c r="B1709" s="79"/>
    </row>
    <row r="1710" spans="1:2" ht="16.5">
      <c r="A1710" s="79"/>
      <c r="B1710" s="79"/>
    </row>
    <row r="1711" spans="1:2" ht="16.5">
      <c r="A1711" s="79"/>
      <c r="B1711" s="79"/>
    </row>
    <row r="1712" spans="1:2" ht="16.5">
      <c r="A1712" s="79"/>
      <c r="B1712" s="79"/>
    </row>
    <row r="1713" spans="1:2" ht="16.5">
      <c r="A1713" s="79"/>
      <c r="B1713" s="79"/>
    </row>
    <row r="1714" spans="1:2" ht="16.5">
      <c r="A1714" s="79"/>
      <c r="B1714" s="79"/>
    </row>
    <row r="1715" spans="1:2" ht="16.5">
      <c r="A1715" s="79"/>
      <c r="B1715" s="79"/>
    </row>
    <row r="1716" spans="1:2" ht="16.5">
      <c r="A1716" s="79"/>
      <c r="B1716" s="79"/>
    </row>
    <row r="1717" spans="1:2" ht="16.5">
      <c r="A1717" s="79"/>
      <c r="B1717" s="79"/>
    </row>
    <row r="1718" spans="1:2" ht="16.5">
      <c r="A1718" s="79"/>
      <c r="B1718" s="79"/>
    </row>
    <row r="1719" spans="1:2" ht="16.5">
      <c r="A1719" s="79"/>
      <c r="B1719" s="79"/>
    </row>
    <row r="1720" spans="1:2" ht="16.5">
      <c r="A1720" s="79"/>
      <c r="B1720" s="79"/>
    </row>
    <row r="1721" spans="1:2" ht="16.5">
      <c r="A1721" s="79"/>
      <c r="B1721" s="79"/>
    </row>
    <row r="1722" spans="1:2" ht="16.5">
      <c r="A1722" s="79"/>
      <c r="B1722" s="79"/>
    </row>
    <row r="1723" spans="1:2" ht="16.5">
      <c r="A1723" s="79"/>
      <c r="B1723" s="79"/>
    </row>
    <row r="1724" spans="1:2" ht="16.5">
      <c r="A1724" s="79"/>
      <c r="B1724" s="79"/>
    </row>
    <row r="1725" spans="1:2" ht="16.5">
      <c r="A1725" s="79"/>
      <c r="B1725" s="79"/>
    </row>
    <row r="1726" spans="1:2" ht="16.5">
      <c r="A1726" s="79"/>
      <c r="B1726" s="79"/>
    </row>
    <row r="1727" spans="1:2" ht="16.5">
      <c r="A1727" s="79"/>
      <c r="B1727" s="79"/>
    </row>
    <row r="1728" spans="1:2" ht="16.5">
      <c r="A1728" s="79"/>
      <c r="B1728" s="79"/>
    </row>
    <row r="1729" spans="1:2" ht="16.5">
      <c r="A1729" s="79"/>
      <c r="B1729" s="79"/>
    </row>
    <row r="1730" spans="1:2" ht="16.5">
      <c r="A1730" s="79"/>
      <c r="B1730" s="79"/>
    </row>
    <row r="1731" spans="1:2" ht="16.5">
      <c r="A1731" s="79"/>
      <c r="B1731" s="79"/>
    </row>
    <row r="1732" spans="1:2" ht="16.5">
      <c r="A1732" s="79"/>
      <c r="B1732" s="79"/>
    </row>
    <row r="1733" spans="1:2" ht="16.5">
      <c r="A1733" s="79"/>
      <c r="B1733" s="79"/>
    </row>
    <row r="1734" spans="1:2" ht="16.5">
      <c r="A1734" s="79"/>
      <c r="B1734" s="79"/>
    </row>
    <row r="1735" spans="1:2" ht="16.5">
      <c r="A1735" s="79"/>
      <c r="B1735" s="79"/>
    </row>
    <row r="1736" spans="1:2" ht="16.5">
      <c r="A1736" s="79"/>
      <c r="B1736" s="79"/>
    </row>
    <row r="1737" spans="1:2" ht="16.5">
      <c r="A1737" s="79"/>
      <c r="B1737" s="79"/>
    </row>
    <row r="1738" spans="1:2" ht="16.5">
      <c r="A1738" s="79"/>
      <c r="B1738" s="79"/>
    </row>
    <row r="1739" spans="1:2" ht="16.5">
      <c r="A1739" s="79"/>
      <c r="B1739" s="79"/>
    </row>
    <row r="1740" spans="1:2" ht="16.5">
      <c r="A1740" s="79"/>
      <c r="B1740" s="79"/>
    </row>
    <row r="1741" spans="1:2" ht="16.5">
      <c r="A1741" s="79"/>
      <c r="B1741" s="79"/>
    </row>
    <row r="1742" spans="1:2" ht="16.5">
      <c r="A1742" s="79"/>
      <c r="B1742" s="79"/>
    </row>
    <row r="1743" spans="1:2" ht="16.5">
      <c r="A1743" s="79"/>
      <c r="B1743" s="79"/>
    </row>
    <row r="1744" spans="1:2" ht="16.5">
      <c r="A1744" s="79"/>
      <c r="B1744" s="79"/>
    </row>
    <row r="1745" spans="1:2" ht="16.5">
      <c r="A1745" s="79"/>
      <c r="B1745" s="79"/>
    </row>
    <row r="1746" spans="1:2" ht="16.5">
      <c r="A1746" s="79"/>
      <c r="B1746" s="79"/>
    </row>
    <row r="1747" spans="1:2" ht="16.5">
      <c r="A1747" s="79"/>
      <c r="B1747" s="79"/>
    </row>
    <row r="1748" spans="1:2" ht="16.5">
      <c r="A1748" s="79"/>
      <c r="B1748" s="79"/>
    </row>
    <row r="1749" spans="1:2" ht="16.5">
      <c r="A1749" s="79"/>
      <c r="B1749" s="79"/>
    </row>
    <row r="1750" spans="1:2" ht="16.5">
      <c r="A1750" s="79"/>
      <c r="B1750" s="79"/>
    </row>
    <row r="1751" spans="1:2" ht="16.5">
      <c r="A1751" s="79"/>
      <c r="B1751" s="79"/>
    </row>
    <row r="1752" spans="1:2" ht="16.5">
      <c r="A1752" s="79"/>
      <c r="B1752" s="79"/>
    </row>
    <row r="1753" spans="1:2" ht="16.5">
      <c r="A1753" s="79"/>
      <c r="B1753" s="79"/>
    </row>
    <row r="1754" spans="1:2" ht="16.5">
      <c r="A1754" s="79"/>
      <c r="B1754" s="79"/>
    </row>
    <row r="1755" spans="1:2" ht="16.5">
      <c r="A1755" s="79"/>
      <c r="B1755" s="79"/>
    </row>
    <row r="1756" spans="1:2" ht="16.5">
      <c r="A1756" s="79"/>
      <c r="B1756" s="79"/>
    </row>
    <row r="1757" spans="1:2" ht="16.5">
      <c r="A1757" s="79"/>
      <c r="B1757" s="79"/>
    </row>
    <row r="1758" spans="1:2" ht="16.5">
      <c r="A1758" s="79"/>
      <c r="B1758" s="79"/>
    </row>
    <row r="1759" spans="1:2" ht="16.5">
      <c r="A1759" s="79"/>
      <c r="B1759" s="79"/>
    </row>
    <row r="1760" spans="1:2" ht="16.5">
      <c r="A1760" s="79"/>
      <c r="B1760" s="79"/>
    </row>
    <row r="1761" spans="1:2" ht="16.5">
      <c r="A1761" s="79"/>
      <c r="B1761" s="79"/>
    </row>
    <row r="1762" spans="1:2" ht="16.5">
      <c r="A1762" s="79"/>
      <c r="B1762" s="79"/>
    </row>
    <row r="1763" spans="1:2" ht="16.5">
      <c r="A1763" s="79"/>
      <c r="B1763" s="79"/>
    </row>
    <row r="1764" spans="1:2" ht="16.5">
      <c r="A1764" s="79"/>
      <c r="B1764" s="79"/>
    </row>
    <row r="1765" spans="1:2" ht="16.5">
      <c r="A1765" s="79"/>
      <c r="B1765" s="79"/>
    </row>
    <row r="1766" spans="1:2" ht="16.5">
      <c r="A1766" s="79"/>
      <c r="B1766" s="79"/>
    </row>
    <row r="1767" spans="1:2" ht="16.5">
      <c r="A1767" s="79"/>
      <c r="B1767" s="79"/>
    </row>
    <row r="1768" spans="1:2" ht="16.5">
      <c r="A1768" s="79"/>
      <c r="B1768" s="79"/>
    </row>
    <row r="1769" spans="1:2" ht="16.5">
      <c r="A1769" s="79"/>
      <c r="B1769" s="79"/>
    </row>
    <row r="1770" spans="1:2" ht="16.5">
      <c r="A1770" s="79"/>
      <c r="B1770" s="79"/>
    </row>
  </sheetData>
  <sheetProtection/>
  <mergeCells count="25">
    <mergeCell ref="P4:Q4"/>
    <mergeCell ref="A37:E37"/>
    <mergeCell ref="C6:C7"/>
    <mergeCell ref="D6:D7"/>
    <mergeCell ref="E6:E7"/>
    <mergeCell ref="O6:O7"/>
    <mergeCell ref="N6:N7"/>
    <mergeCell ref="M6:M7"/>
    <mergeCell ref="A38:B38"/>
    <mergeCell ref="C5:H5"/>
    <mergeCell ref="I5:O5"/>
    <mergeCell ref="A5:A6"/>
    <mergeCell ref="B5:B7"/>
    <mergeCell ref="P5:P7"/>
    <mergeCell ref="K6:K7"/>
    <mergeCell ref="A2:H2"/>
    <mergeCell ref="A3:H3"/>
    <mergeCell ref="I2:Q2"/>
    <mergeCell ref="I3:Q3"/>
    <mergeCell ref="Q5:Q7"/>
    <mergeCell ref="L6:L7"/>
    <mergeCell ref="A4:C4"/>
    <mergeCell ref="F6:F7"/>
    <mergeCell ref="G6:G7"/>
    <mergeCell ref="H6:H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12"/>
  <sheetViews>
    <sheetView workbookViewId="0" topLeftCell="A4">
      <pane ySplit="4" topLeftCell="A17" activePane="bottomLeft" state="frozen"/>
      <selection pane="topLeft" activeCell="Z4" sqref="Z4"/>
      <selection pane="bottomLeft" activeCell="AH41" sqref="AH41"/>
    </sheetView>
  </sheetViews>
  <sheetFormatPr defaultColWidth="9.00390625" defaultRowHeight="16.5"/>
  <cols>
    <col min="1" max="1" width="13.625" style="30" customWidth="1"/>
    <col min="2" max="2" width="12.625" style="30" customWidth="1"/>
    <col min="3" max="3" width="12.125" style="91" customWidth="1"/>
    <col min="4" max="7" width="12.125" style="30" customWidth="1"/>
    <col min="8" max="8" width="11.00390625" style="91" customWidth="1"/>
    <col min="9" max="9" width="10.625" style="30" customWidth="1"/>
    <col min="10" max="11" width="9.75390625" style="30" customWidth="1"/>
    <col min="12" max="12" width="10.625" style="91" customWidth="1"/>
    <col min="13" max="13" width="10.625" style="30" customWidth="1"/>
    <col min="14" max="14" width="9.875" style="30" customWidth="1"/>
    <col min="15" max="15" width="11.00390625" style="30" customWidth="1"/>
    <col min="16" max="16" width="10.625" style="30" customWidth="1"/>
    <col min="17" max="17" width="13.625" style="30" customWidth="1"/>
    <col min="18" max="18" width="7.50390625" style="91" customWidth="1"/>
    <col min="19" max="19" width="10.125" style="30" customWidth="1"/>
    <col min="20" max="20" width="10.00390625" style="30" customWidth="1"/>
    <col min="21" max="21" width="10.25390625" style="30" customWidth="1"/>
    <col min="22" max="22" width="6.50390625" style="91" customWidth="1"/>
    <col min="23" max="23" width="10.875" style="30" customWidth="1"/>
    <col min="24" max="24" width="12.375" style="30" customWidth="1"/>
    <col min="25" max="25" width="10.50390625" style="30" customWidth="1"/>
    <col min="26" max="26" width="11.125" style="91" customWidth="1"/>
    <col min="27" max="31" width="11.125" style="30" customWidth="1"/>
    <col min="32" max="33" width="11.125" style="172" customWidth="1"/>
  </cols>
  <sheetData>
    <row r="1" spans="3:33" s="116" customFormat="1" ht="14.25">
      <c r="C1" s="117"/>
      <c r="G1" s="164" t="s">
        <v>305</v>
      </c>
      <c r="H1" s="165" t="s">
        <v>169</v>
      </c>
      <c r="L1" s="117"/>
      <c r="O1" s="363"/>
      <c r="P1" s="363"/>
      <c r="V1" s="117"/>
      <c r="X1" s="363" t="s">
        <v>306</v>
      </c>
      <c r="Y1" s="363"/>
      <c r="Z1" s="321" t="s">
        <v>240</v>
      </c>
      <c r="AA1" s="321"/>
      <c r="AF1" s="362"/>
      <c r="AG1" s="362"/>
    </row>
    <row r="2" spans="1:74" s="24" customFormat="1" ht="23.25" customHeight="1">
      <c r="A2" s="335" t="s">
        <v>128</v>
      </c>
      <c r="B2" s="336"/>
      <c r="C2" s="336"/>
      <c r="D2" s="336"/>
      <c r="E2" s="336"/>
      <c r="F2" s="336"/>
      <c r="G2" s="336"/>
      <c r="H2" s="337" t="s">
        <v>73</v>
      </c>
      <c r="I2" s="336"/>
      <c r="J2" s="336"/>
      <c r="K2" s="336"/>
      <c r="L2" s="336"/>
      <c r="M2" s="336"/>
      <c r="N2" s="336"/>
      <c r="O2" s="336"/>
      <c r="P2" s="336"/>
      <c r="Q2" s="335" t="s">
        <v>159</v>
      </c>
      <c r="R2" s="336"/>
      <c r="S2" s="336"/>
      <c r="T2" s="336"/>
      <c r="U2" s="336"/>
      <c r="V2" s="336"/>
      <c r="W2" s="336"/>
      <c r="X2" s="336"/>
      <c r="Y2" s="336"/>
      <c r="Z2" s="366" t="s">
        <v>100</v>
      </c>
      <c r="AA2" s="298"/>
      <c r="AB2" s="298"/>
      <c r="AC2" s="298"/>
      <c r="AD2" s="298"/>
      <c r="AE2" s="298"/>
      <c r="AF2" s="298"/>
      <c r="AG2" s="298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</row>
    <row r="3" spans="1:74" s="26" customFormat="1" ht="18" customHeight="1">
      <c r="A3" s="341" t="s">
        <v>129</v>
      </c>
      <c r="B3" s="342"/>
      <c r="C3" s="342"/>
      <c r="D3" s="342"/>
      <c r="E3" s="342"/>
      <c r="F3" s="342"/>
      <c r="G3" s="342"/>
      <c r="H3" s="341" t="s">
        <v>9</v>
      </c>
      <c r="I3" s="342"/>
      <c r="J3" s="342"/>
      <c r="K3" s="342"/>
      <c r="L3" s="342"/>
      <c r="M3" s="342"/>
      <c r="N3" s="342"/>
      <c r="O3" s="342"/>
      <c r="P3" s="295"/>
      <c r="Q3" s="341" t="s">
        <v>130</v>
      </c>
      <c r="R3" s="342"/>
      <c r="S3" s="342"/>
      <c r="T3" s="342"/>
      <c r="U3" s="342"/>
      <c r="V3" s="342"/>
      <c r="W3" s="342"/>
      <c r="X3" s="342"/>
      <c r="Y3" s="342"/>
      <c r="Z3" s="364" t="s">
        <v>15</v>
      </c>
      <c r="AA3" s="300"/>
      <c r="AB3" s="300"/>
      <c r="AC3" s="300"/>
      <c r="AD3" s="300"/>
      <c r="AE3" s="300"/>
      <c r="AF3" s="300"/>
      <c r="AG3" s="300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</row>
    <row r="4" spans="1:74" s="22" customFormat="1" ht="15" customHeight="1">
      <c r="A4" s="343" t="s">
        <v>7</v>
      </c>
      <c r="B4" s="344"/>
      <c r="C4" s="80"/>
      <c r="D4" s="61"/>
      <c r="E4" s="61"/>
      <c r="F4" s="61"/>
      <c r="G4" s="61"/>
      <c r="H4" s="80"/>
      <c r="I4" s="61"/>
      <c r="J4" s="61"/>
      <c r="K4" s="61"/>
      <c r="L4" s="80"/>
      <c r="M4" s="61"/>
      <c r="N4" s="61"/>
      <c r="O4" s="347" t="s">
        <v>131</v>
      </c>
      <c r="P4" s="347"/>
      <c r="Q4" s="343" t="s">
        <v>7</v>
      </c>
      <c r="R4" s="344"/>
      <c r="S4" s="61"/>
      <c r="T4" s="61"/>
      <c r="U4" s="61"/>
      <c r="V4" s="80"/>
      <c r="W4" s="61"/>
      <c r="X4" s="61"/>
      <c r="Y4" s="61"/>
      <c r="Z4" s="80"/>
      <c r="AA4" s="61"/>
      <c r="AB4" s="61"/>
      <c r="AC4" s="61"/>
      <c r="AD4" s="61"/>
      <c r="AE4" s="61"/>
      <c r="AF4" s="365" t="s">
        <v>108</v>
      </c>
      <c r="AG4" s="365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</row>
    <row r="5" spans="1:74" s="22" customFormat="1" ht="17.25" customHeight="1">
      <c r="A5" s="348" t="s">
        <v>109</v>
      </c>
      <c r="B5" s="350" t="s">
        <v>4</v>
      </c>
      <c r="C5" s="358" t="s">
        <v>70</v>
      </c>
      <c r="D5" s="359"/>
      <c r="E5" s="359"/>
      <c r="F5" s="359"/>
      <c r="G5" s="359"/>
      <c r="H5" s="345" t="s">
        <v>10</v>
      </c>
      <c r="I5" s="346"/>
      <c r="J5" s="346"/>
      <c r="K5" s="346"/>
      <c r="L5" s="346"/>
      <c r="M5" s="346"/>
      <c r="N5" s="346"/>
      <c r="O5" s="346"/>
      <c r="P5" s="346"/>
      <c r="Q5" s="352" t="s">
        <v>109</v>
      </c>
      <c r="R5" s="327" t="s">
        <v>75</v>
      </c>
      <c r="S5" s="328"/>
      <c r="T5" s="328"/>
      <c r="U5" s="328"/>
      <c r="V5" s="328"/>
      <c r="W5" s="328"/>
      <c r="X5" s="328"/>
      <c r="Y5" s="328"/>
      <c r="Z5" s="322" t="s">
        <v>74</v>
      </c>
      <c r="AA5" s="322"/>
      <c r="AB5" s="322"/>
      <c r="AC5" s="322"/>
      <c r="AD5" s="322"/>
      <c r="AE5" s="322"/>
      <c r="AF5" s="323"/>
      <c r="AG5" s="360" t="s">
        <v>256</v>
      </c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</row>
    <row r="6" spans="1:74" s="22" customFormat="1" ht="24" customHeight="1">
      <c r="A6" s="349"/>
      <c r="B6" s="351"/>
      <c r="C6" s="340" t="s">
        <v>132</v>
      </c>
      <c r="D6" s="339"/>
      <c r="E6" s="339"/>
      <c r="F6" s="339"/>
      <c r="G6" s="339"/>
      <c r="H6" s="338" t="s">
        <v>72</v>
      </c>
      <c r="I6" s="339"/>
      <c r="J6" s="339"/>
      <c r="K6" s="339"/>
      <c r="L6" s="340" t="s">
        <v>133</v>
      </c>
      <c r="M6" s="339"/>
      <c r="N6" s="339"/>
      <c r="O6" s="339"/>
      <c r="P6" s="339"/>
      <c r="Q6" s="353"/>
      <c r="R6" s="329" t="s">
        <v>76</v>
      </c>
      <c r="S6" s="330"/>
      <c r="T6" s="330"/>
      <c r="U6" s="330"/>
      <c r="V6" s="332" t="s">
        <v>134</v>
      </c>
      <c r="W6" s="333"/>
      <c r="X6" s="334"/>
      <c r="Y6" s="324" t="s">
        <v>250</v>
      </c>
      <c r="Z6" s="326" t="s">
        <v>71</v>
      </c>
      <c r="AA6" s="310"/>
      <c r="AB6" s="310"/>
      <c r="AC6" s="331" t="s">
        <v>253</v>
      </c>
      <c r="AD6" s="331" t="s">
        <v>284</v>
      </c>
      <c r="AE6" s="331" t="s">
        <v>254</v>
      </c>
      <c r="AF6" s="367" t="s">
        <v>255</v>
      </c>
      <c r="AG6" s="36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</row>
    <row r="7" spans="1:74" s="6" customFormat="1" ht="62.25" customHeight="1">
      <c r="A7" s="287" t="s">
        <v>14</v>
      </c>
      <c r="B7" s="274" t="s">
        <v>135</v>
      </c>
      <c r="C7" s="275" t="s">
        <v>136</v>
      </c>
      <c r="D7" s="188" t="s">
        <v>361</v>
      </c>
      <c r="E7" s="188" t="s">
        <v>137</v>
      </c>
      <c r="F7" s="188" t="s">
        <v>283</v>
      </c>
      <c r="G7" s="215" t="s">
        <v>138</v>
      </c>
      <c r="H7" s="276" t="s">
        <v>139</v>
      </c>
      <c r="I7" s="214" t="s">
        <v>140</v>
      </c>
      <c r="J7" s="188" t="s">
        <v>141</v>
      </c>
      <c r="K7" s="188" t="s">
        <v>142</v>
      </c>
      <c r="L7" s="277" t="s">
        <v>143</v>
      </c>
      <c r="M7" s="278" t="s">
        <v>144</v>
      </c>
      <c r="N7" s="278" t="s">
        <v>145</v>
      </c>
      <c r="O7" s="278" t="s">
        <v>146</v>
      </c>
      <c r="P7" s="215" t="s">
        <v>147</v>
      </c>
      <c r="Q7" s="131" t="s">
        <v>14</v>
      </c>
      <c r="R7" s="279" t="s">
        <v>247</v>
      </c>
      <c r="S7" s="279" t="s">
        <v>244</v>
      </c>
      <c r="T7" s="279" t="s">
        <v>245</v>
      </c>
      <c r="U7" s="279" t="s">
        <v>246</v>
      </c>
      <c r="V7" s="279" t="s">
        <v>247</v>
      </c>
      <c r="W7" s="279" t="s">
        <v>248</v>
      </c>
      <c r="X7" s="279" t="s">
        <v>249</v>
      </c>
      <c r="Y7" s="325"/>
      <c r="Z7" s="189" t="s">
        <v>251</v>
      </c>
      <c r="AA7" s="268" t="s">
        <v>148</v>
      </c>
      <c r="AB7" s="268" t="s">
        <v>252</v>
      </c>
      <c r="AC7" s="307"/>
      <c r="AD7" s="307"/>
      <c r="AE7" s="307"/>
      <c r="AF7" s="368"/>
      <c r="AG7" s="361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</row>
    <row r="8" spans="1:33" s="10" customFormat="1" ht="22.5" customHeight="1">
      <c r="A8" s="282" t="s">
        <v>197</v>
      </c>
      <c r="B8" s="184">
        <f>C8+H8+L8+R8+V8+Z8+AC8+AD8+AE8+AF8</f>
        <v>92516</v>
      </c>
      <c r="C8" s="183">
        <f aca="true" t="shared" si="0" ref="C8:C13">SUM(D8:G8)</f>
        <v>53470</v>
      </c>
      <c r="D8" s="184">
        <v>11923</v>
      </c>
      <c r="E8" s="184">
        <v>39509</v>
      </c>
      <c r="F8" s="184">
        <v>1871</v>
      </c>
      <c r="G8" s="184">
        <v>167</v>
      </c>
      <c r="H8" s="183">
        <f>I8+J8+K8</f>
        <v>610</v>
      </c>
      <c r="I8" s="184">
        <v>148</v>
      </c>
      <c r="J8" s="184">
        <v>0</v>
      </c>
      <c r="K8" s="184">
        <v>462</v>
      </c>
      <c r="L8" s="183">
        <f>SUM(M8:P8)</f>
        <v>17174</v>
      </c>
      <c r="M8" s="184">
        <v>554</v>
      </c>
      <c r="N8" s="184">
        <v>0</v>
      </c>
      <c r="O8" s="184">
        <v>0</v>
      </c>
      <c r="P8" s="184">
        <v>16620</v>
      </c>
      <c r="Q8" s="281" t="s">
        <v>198</v>
      </c>
      <c r="R8" s="183">
        <f>S8+T8+U8</f>
        <v>2852</v>
      </c>
      <c r="S8" s="183">
        <v>0</v>
      </c>
      <c r="T8" s="183">
        <v>134</v>
      </c>
      <c r="U8" s="183">
        <v>2718</v>
      </c>
      <c r="V8" s="183">
        <f>W8+X8+Y8</f>
        <v>7961</v>
      </c>
      <c r="W8" s="183">
        <v>0</v>
      </c>
      <c r="X8" s="183">
        <v>3399</v>
      </c>
      <c r="Y8" s="184">
        <v>4562</v>
      </c>
      <c r="Z8" s="183">
        <f>SUM(AA8:AB8)</f>
        <v>0</v>
      </c>
      <c r="AA8" s="184">
        <v>0</v>
      </c>
      <c r="AB8" s="184">
        <v>0</v>
      </c>
      <c r="AC8" s="184">
        <v>0</v>
      </c>
      <c r="AD8" s="184">
        <v>892</v>
      </c>
      <c r="AE8" s="184">
        <v>9557</v>
      </c>
      <c r="AF8" s="236">
        <v>0</v>
      </c>
      <c r="AG8" s="237">
        <v>44028</v>
      </c>
    </row>
    <row r="9" spans="1:33" s="10" customFormat="1" ht="22.5" customHeight="1">
      <c r="A9" s="283" t="s">
        <v>199</v>
      </c>
      <c r="B9" s="90">
        <f>C9+H9+L9+R9+V9+Z9+AC9+AD9+AE9+AF9</f>
        <v>153878</v>
      </c>
      <c r="C9" s="73">
        <f t="shared" si="0"/>
        <v>55627</v>
      </c>
      <c r="D9" s="90">
        <v>12838</v>
      </c>
      <c r="E9" s="90">
        <v>40497</v>
      </c>
      <c r="F9" s="90">
        <v>2035</v>
      </c>
      <c r="G9" s="90">
        <v>257</v>
      </c>
      <c r="H9" s="73">
        <f>I9+J9+K9</f>
        <v>968</v>
      </c>
      <c r="I9" s="90">
        <v>150</v>
      </c>
      <c r="J9" s="90">
        <v>0</v>
      </c>
      <c r="K9" s="90">
        <v>818</v>
      </c>
      <c r="L9" s="73">
        <f>SUM(M9:P9)</f>
        <v>27922</v>
      </c>
      <c r="M9" s="90">
        <v>919</v>
      </c>
      <c r="N9" s="90">
        <v>0</v>
      </c>
      <c r="O9" s="90">
        <v>0</v>
      </c>
      <c r="P9" s="90">
        <v>27003</v>
      </c>
      <c r="Q9" s="280" t="s">
        <v>200</v>
      </c>
      <c r="R9" s="73">
        <f>S9+T9+U9</f>
        <v>4153</v>
      </c>
      <c r="S9" s="73">
        <v>0</v>
      </c>
      <c r="T9" s="73">
        <v>310</v>
      </c>
      <c r="U9" s="73">
        <v>3843</v>
      </c>
      <c r="V9" s="73">
        <f>W9+X9+Y9</f>
        <v>10562</v>
      </c>
      <c r="W9" s="73">
        <v>0</v>
      </c>
      <c r="X9" s="73">
        <v>6477</v>
      </c>
      <c r="Y9" s="90">
        <v>4085</v>
      </c>
      <c r="Z9" s="73">
        <f>SUM(AA9:AB9)</f>
        <v>0</v>
      </c>
      <c r="AA9" s="90">
        <v>0</v>
      </c>
      <c r="AB9" s="90">
        <v>0</v>
      </c>
      <c r="AC9" s="90">
        <v>0</v>
      </c>
      <c r="AD9" s="90">
        <v>1275</v>
      </c>
      <c r="AE9" s="90">
        <v>53371</v>
      </c>
      <c r="AF9" s="166">
        <v>0</v>
      </c>
      <c r="AG9" s="186">
        <v>30230</v>
      </c>
    </row>
    <row r="10" spans="1:33" s="10" customFormat="1" ht="22.5" customHeight="1">
      <c r="A10" s="283" t="s">
        <v>201</v>
      </c>
      <c r="B10" s="90">
        <f>C10+H10+L10+R10+V10+Z10+AC10+AD10+AE10+AF10</f>
        <v>126856</v>
      </c>
      <c r="C10" s="73">
        <f t="shared" si="0"/>
        <v>61324</v>
      </c>
      <c r="D10" s="90">
        <v>13599</v>
      </c>
      <c r="E10" s="90">
        <v>43283</v>
      </c>
      <c r="F10" s="90">
        <v>4289</v>
      </c>
      <c r="G10" s="90">
        <v>153</v>
      </c>
      <c r="H10" s="73">
        <f>I10+J10+K10</f>
        <v>1294</v>
      </c>
      <c r="I10" s="90">
        <v>195</v>
      </c>
      <c r="J10" s="90">
        <v>0</v>
      </c>
      <c r="K10" s="90">
        <v>1099</v>
      </c>
      <c r="L10" s="73">
        <f>SUM(M10:P10)</f>
        <v>18313</v>
      </c>
      <c r="M10" s="90">
        <v>1499</v>
      </c>
      <c r="N10" s="90">
        <v>0</v>
      </c>
      <c r="O10" s="90">
        <v>0</v>
      </c>
      <c r="P10" s="90">
        <v>16814</v>
      </c>
      <c r="Q10" s="280" t="s">
        <v>202</v>
      </c>
      <c r="R10" s="73">
        <f>S10+T10+U10</f>
        <v>4364</v>
      </c>
      <c r="S10" s="73">
        <v>0</v>
      </c>
      <c r="T10" s="73">
        <v>323</v>
      </c>
      <c r="U10" s="73">
        <v>4041</v>
      </c>
      <c r="V10" s="73">
        <f>W10+X10+Y10</f>
        <v>11698</v>
      </c>
      <c r="W10" s="73">
        <v>102</v>
      </c>
      <c r="X10" s="73">
        <v>7012</v>
      </c>
      <c r="Y10" s="90">
        <v>4584</v>
      </c>
      <c r="Z10" s="73">
        <f>SUM(AA10:AB10)</f>
        <v>0</v>
      </c>
      <c r="AA10" s="90">
        <v>0</v>
      </c>
      <c r="AB10" s="90">
        <v>0</v>
      </c>
      <c r="AC10" s="90">
        <v>0</v>
      </c>
      <c r="AD10" s="90">
        <v>1008</v>
      </c>
      <c r="AE10" s="90">
        <v>28855</v>
      </c>
      <c r="AF10" s="166">
        <v>0</v>
      </c>
      <c r="AG10" s="186">
        <v>30230</v>
      </c>
    </row>
    <row r="11" spans="1:33" s="10" customFormat="1" ht="22.5" customHeight="1">
      <c r="A11" s="283" t="s">
        <v>203</v>
      </c>
      <c r="B11" s="90">
        <f>C11+H11+L11+R11+V11+Z11+AC11+AD11+AE11+AF11</f>
        <v>123817</v>
      </c>
      <c r="C11" s="73">
        <f t="shared" si="0"/>
        <v>43336</v>
      </c>
      <c r="D11" s="90">
        <v>14620</v>
      </c>
      <c r="E11" s="90">
        <v>16156</v>
      </c>
      <c r="F11" s="90">
        <v>11136</v>
      </c>
      <c r="G11" s="90">
        <v>1424</v>
      </c>
      <c r="H11" s="73">
        <f>I11+J11+K11</f>
        <v>3017</v>
      </c>
      <c r="I11" s="90">
        <v>231</v>
      </c>
      <c r="J11" s="90">
        <v>0</v>
      </c>
      <c r="K11" s="90">
        <v>2786</v>
      </c>
      <c r="L11" s="73">
        <f>SUM(M11:P11)</f>
        <v>41992</v>
      </c>
      <c r="M11" s="90">
        <v>6678</v>
      </c>
      <c r="N11" s="90">
        <v>0</v>
      </c>
      <c r="O11" s="90">
        <v>0</v>
      </c>
      <c r="P11" s="90">
        <v>35314</v>
      </c>
      <c r="Q11" s="280" t="s">
        <v>204</v>
      </c>
      <c r="R11" s="73">
        <f>SUM(R19:R30)</f>
        <v>13410</v>
      </c>
      <c r="S11" s="73">
        <v>0</v>
      </c>
      <c r="T11" s="73">
        <v>352</v>
      </c>
      <c r="U11" s="73">
        <v>11716</v>
      </c>
      <c r="V11" s="73">
        <f>SUM(V19:V30)</f>
        <v>5951</v>
      </c>
      <c r="W11" s="73">
        <v>115</v>
      </c>
      <c r="X11" s="73">
        <v>3700</v>
      </c>
      <c r="Y11" s="90">
        <v>4269</v>
      </c>
      <c r="Z11" s="73">
        <v>0</v>
      </c>
      <c r="AA11" s="90">
        <v>0</v>
      </c>
      <c r="AB11" s="90">
        <v>0</v>
      </c>
      <c r="AC11" s="90">
        <v>0</v>
      </c>
      <c r="AD11" s="90">
        <v>852</v>
      </c>
      <c r="AE11" s="90">
        <v>15259</v>
      </c>
      <c r="AF11" s="166">
        <v>0</v>
      </c>
      <c r="AG11" s="186">
        <v>118836</v>
      </c>
    </row>
    <row r="12" spans="1:33" s="133" customFormat="1" ht="22.5" customHeight="1">
      <c r="A12" s="284" t="s">
        <v>205</v>
      </c>
      <c r="B12" s="73">
        <f>C12+H12+L12+R12+V12+Z12</f>
        <v>121887</v>
      </c>
      <c r="C12" s="73">
        <f t="shared" si="0"/>
        <v>50244</v>
      </c>
      <c r="D12" s="73">
        <v>15036</v>
      </c>
      <c r="E12" s="73">
        <v>20076</v>
      </c>
      <c r="F12" s="73">
        <v>14060</v>
      </c>
      <c r="G12" s="73">
        <v>1072</v>
      </c>
      <c r="H12" s="73">
        <f>SUM(I12:K12)</f>
        <v>3567</v>
      </c>
      <c r="I12" s="73">
        <v>457</v>
      </c>
      <c r="J12" s="73">
        <f>SUM(J19:J30)</f>
        <v>0</v>
      </c>
      <c r="K12" s="73">
        <v>3110</v>
      </c>
      <c r="L12" s="73">
        <f>SUM(M12:P12)</f>
        <v>45968</v>
      </c>
      <c r="M12" s="73">
        <v>8817</v>
      </c>
      <c r="N12" s="73">
        <v>0</v>
      </c>
      <c r="O12" s="73">
        <v>0</v>
      </c>
      <c r="P12" s="73">
        <v>37151</v>
      </c>
      <c r="Q12" s="253" t="s">
        <v>206</v>
      </c>
      <c r="R12" s="73">
        <f>SUM(S12:U12)</f>
        <v>12099</v>
      </c>
      <c r="S12" s="73">
        <v>0</v>
      </c>
      <c r="T12" s="73">
        <v>295</v>
      </c>
      <c r="U12" s="73">
        <v>11804</v>
      </c>
      <c r="V12" s="73">
        <f>SUM(W12:Y12)</f>
        <v>10009</v>
      </c>
      <c r="W12" s="73">
        <v>180</v>
      </c>
      <c r="X12" s="73">
        <v>4567</v>
      </c>
      <c r="Y12" s="73">
        <v>5262</v>
      </c>
      <c r="Z12" s="73">
        <f>AA12+AB12</f>
        <v>0</v>
      </c>
      <c r="AA12" s="73">
        <v>0</v>
      </c>
      <c r="AB12" s="73">
        <v>0</v>
      </c>
      <c r="AC12" s="73">
        <v>0</v>
      </c>
      <c r="AD12" s="73">
        <v>982</v>
      </c>
      <c r="AE12" s="73">
        <v>14520</v>
      </c>
      <c r="AF12" s="166">
        <v>0</v>
      </c>
      <c r="AG12" s="186">
        <v>730172</v>
      </c>
    </row>
    <row r="13" spans="1:33" s="133" customFormat="1" ht="22.5" customHeight="1">
      <c r="A13" s="284" t="s">
        <v>207</v>
      </c>
      <c r="B13" s="73">
        <f>C13+H13+L13+R13+V13+Z13</f>
        <v>358785</v>
      </c>
      <c r="C13" s="73">
        <f t="shared" si="0"/>
        <v>42888</v>
      </c>
      <c r="D13" s="73">
        <v>13842</v>
      </c>
      <c r="E13" s="73">
        <v>15638</v>
      </c>
      <c r="F13" s="73">
        <v>12343</v>
      </c>
      <c r="G13" s="73">
        <v>1065</v>
      </c>
      <c r="H13" s="73">
        <f>SUM(I13:K13)</f>
        <v>3105</v>
      </c>
      <c r="I13" s="73">
        <v>394</v>
      </c>
      <c r="J13" s="73">
        <f>SUM(J16:J29)</f>
        <v>0</v>
      </c>
      <c r="K13" s="73">
        <v>2711</v>
      </c>
      <c r="L13" s="73">
        <f>SUM(L16:L29)</f>
        <v>211771</v>
      </c>
      <c r="M13" s="73">
        <v>10304</v>
      </c>
      <c r="N13" s="73">
        <f>SUM(N16:N29)</f>
        <v>0</v>
      </c>
      <c r="O13" s="73">
        <f>SUM(O16:O29)</f>
        <v>0</v>
      </c>
      <c r="P13" s="73">
        <v>16567</v>
      </c>
      <c r="Q13" s="253" t="s">
        <v>208</v>
      </c>
      <c r="R13" s="73">
        <f>SUM(R15:R29)</f>
        <v>60731</v>
      </c>
      <c r="S13" s="73">
        <f>SUM(S15:S29)</f>
        <v>864</v>
      </c>
      <c r="T13" s="73">
        <v>769</v>
      </c>
      <c r="U13" s="73">
        <v>12140</v>
      </c>
      <c r="V13" s="73">
        <f>SUM(V15:V29)</f>
        <v>40290</v>
      </c>
      <c r="W13" s="73">
        <v>120</v>
      </c>
      <c r="X13" s="73">
        <v>4549</v>
      </c>
      <c r="Y13" s="73">
        <v>3995</v>
      </c>
      <c r="Z13" s="73">
        <f>AA13+AB13</f>
        <v>0</v>
      </c>
      <c r="AA13" s="73">
        <f>SUM(AA15:AA29)</f>
        <v>0</v>
      </c>
      <c r="AB13" s="73">
        <f>SUM(AB15:AB29)</f>
        <v>0</v>
      </c>
      <c r="AC13" s="73">
        <f>SUM(AC15:AC29)</f>
        <v>0</v>
      </c>
      <c r="AD13" s="73">
        <v>314</v>
      </c>
      <c r="AE13" s="73">
        <v>18445</v>
      </c>
      <c r="AF13" s="166">
        <f>SUM(AF15:AF29)</f>
        <v>9113</v>
      </c>
      <c r="AG13" s="186">
        <v>843168</v>
      </c>
    </row>
    <row r="14" spans="1:33" s="133" customFormat="1" ht="22.5" customHeight="1">
      <c r="A14" s="284" t="s">
        <v>209</v>
      </c>
      <c r="B14" s="73">
        <f>C14+H14+L14+R14+V14+Z14</f>
        <v>303768</v>
      </c>
      <c r="C14" s="73">
        <f>SUM(C16:C29)</f>
        <v>168674</v>
      </c>
      <c r="D14" s="73">
        <v>13316</v>
      </c>
      <c r="E14" s="73">
        <v>14988</v>
      </c>
      <c r="F14" s="73">
        <v>12125</v>
      </c>
      <c r="G14" s="73">
        <v>1449</v>
      </c>
      <c r="H14" s="73">
        <v>3204</v>
      </c>
      <c r="I14" s="73">
        <v>359</v>
      </c>
      <c r="J14" s="73">
        <f>SUM(J16:J29)</f>
        <v>0</v>
      </c>
      <c r="K14" s="73">
        <v>2845</v>
      </c>
      <c r="L14" s="73">
        <v>63408</v>
      </c>
      <c r="M14" s="73">
        <v>9528</v>
      </c>
      <c r="N14" s="73">
        <f>SUM(N16:N29)</f>
        <v>0</v>
      </c>
      <c r="O14" s="73">
        <f>SUM(O16:O29)</f>
        <v>0</v>
      </c>
      <c r="P14" s="73">
        <v>53880</v>
      </c>
      <c r="Q14" s="253" t="s">
        <v>210</v>
      </c>
      <c r="R14" s="73">
        <f>SUM(R15:R29)</f>
        <v>60731</v>
      </c>
      <c r="S14" s="73">
        <f>SUM(S15:S29)</f>
        <v>864</v>
      </c>
      <c r="T14" s="73">
        <v>1003</v>
      </c>
      <c r="U14" s="73">
        <v>11748</v>
      </c>
      <c r="V14" s="73">
        <v>7751</v>
      </c>
      <c r="W14" s="73">
        <v>110</v>
      </c>
      <c r="X14" s="73">
        <v>3704</v>
      </c>
      <c r="Y14" s="73">
        <v>3937</v>
      </c>
      <c r="Z14" s="73">
        <f>AA14+AB14</f>
        <v>0</v>
      </c>
      <c r="AA14" s="73">
        <f>SUM(AA15:AA29)</f>
        <v>0</v>
      </c>
      <c r="AB14" s="73">
        <f>SUM(AB15:AB29)</f>
        <v>0</v>
      </c>
      <c r="AC14" s="73">
        <f>SUM(AC15:AC29)</f>
        <v>0</v>
      </c>
      <c r="AD14" s="73">
        <v>1872</v>
      </c>
      <c r="AE14" s="73">
        <v>38715</v>
      </c>
      <c r="AF14" s="166">
        <v>346</v>
      </c>
      <c r="AG14" s="186">
        <v>33174</v>
      </c>
    </row>
    <row r="15" spans="1:33" s="133" customFormat="1" ht="22.5" customHeight="1">
      <c r="A15" s="284" t="s">
        <v>211</v>
      </c>
      <c r="B15" s="73">
        <v>92447</v>
      </c>
      <c r="C15" s="73">
        <v>43480</v>
      </c>
      <c r="D15" s="73">
        <v>12689</v>
      </c>
      <c r="E15" s="73">
        <v>17073</v>
      </c>
      <c r="F15" s="73">
        <v>12199</v>
      </c>
      <c r="G15" s="73">
        <v>1519</v>
      </c>
      <c r="H15" s="73">
        <v>1963</v>
      </c>
      <c r="I15" s="73">
        <v>86</v>
      </c>
      <c r="J15" s="73">
        <v>0</v>
      </c>
      <c r="K15" s="73">
        <v>1877</v>
      </c>
      <c r="L15" s="73">
        <v>25031</v>
      </c>
      <c r="M15" s="73">
        <v>6742</v>
      </c>
      <c r="N15" s="73">
        <v>0</v>
      </c>
      <c r="O15" s="73">
        <v>0</v>
      </c>
      <c r="P15" s="73">
        <v>18289</v>
      </c>
      <c r="Q15" s="253" t="s">
        <v>301</v>
      </c>
      <c r="R15" s="73">
        <f aca="true" t="shared" si="1" ref="R15:Y15">SUM(R19:R30)</f>
        <v>13410</v>
      </c>
      <c r="S15" s="73">
        <f t="shared" si="1"/>
        <v>299</v>
      </c>
      <c r="T15" s="73">
        <f t="shared" si="1"/>
        <v>370</v>
      </c>
      <c r="U15" s="73">
        <f t="shared" si="1"/>
        <v>12741</v>
      </c>
      <c r="V15" s="73">
        <f t="shared" si="1"/>
        <v>5951</v>
      </c>
      <c r="W15" s="73">
        <f t="shared" si="1"/>
        <v>128</v>
      </c>
      <c r="X15" s="73">
        <f t="shared" si="1"/>
        <v>5823</v>
      </c>
      <c r="Y15" s="73">
        <f t="shared" si="1"/>
        <v>8006</v>
      </c>
      <c r="Z15" s="73">
        <f>AA15+AB15</f>
        <v>0</v>
      </c>
      <c r="AA15" s="73">
        <f aca="true" t="shared" si="2" ref="AA15:AF15">SUM(AA19:AA30)</f>
        <v>0</v>
      </c>
      <c r="AB15" s="73">
        <f t="shared" si="2"/>
        <v>0</v>
      </c>
      <c r="AC15" s="73">
        <f t="shared" si="2"/>
        <v>0</v>
      </c>
      <c r="AD15" s="73">
        <f t="shared" si="2"/>
        <v>770</v>
      </c>
      <c r="AE15" s="73">
        <f t="shared" si="2"/>
        <v>35032</v>
      </c>
      <c r="AF15" s="166">
        <f t="shared" si="2"/>
        <v>-5214</v>
      </c>
      <c r="AG15" s="186">
        <v>50284</v>
      </c>
    </row>
    <row r="16" spans="1:33" s="133" customFormat="1" ht="22.5" customHeight="1">
      <c r="A16" s="284" t="s">
        <v>212</v>
      </c>
      <c r="B16" s="73">
        <v>154106</v>
      </c>
      <c r="C16" s="73">
        <v>43632</v>
      </c>
      <c r="D16" s="73">
        <v>13989</v>
      </c>
      <c r="E16" s="73">
        <v>11132</v>
      </c>
      <c r="F16" s="73">
        <v>17143</v>
      </c>
      <c r="G16" s="73">
        <v>1368</v>
      </c>
      <c r="H16" s="73">
        <v>1812</v>
      </c>
      <c r="I16" s="73">
        <v>89</v>
      </c>
      <c r="J16" s="73">
        <v>0</v>
      </c>
      <c r="K16" s="73">
        <v>1723</v>
      </c>
      <c r="L16" s="73">
        <v>84899</v>
      </c>
      <c r="M16" s="73">
        <v>15905</v>
      </c>
      <c r="N16" s="73">
        <v>0</v>
      </c>
      <c r="O16" s="73">
        <v>0</v>
      </c>
      <c r="P16" s="73">
        <v>68994</v>
      </c>
      <c r="Q16" s="253" t="s">
        <v>212</v>
      </c>
      <c r="R16" s="73">
        <v>12824</v>
      </c>
      <c r="S16" s="148">
        <v>0</v>
      </c>
      <c r="T16" s="73">
        <v>2337</v>
      </c>
      <c r="U16" s="73">
        <v>10487</v>
      </c>
      <c r="V16" s="73">
        <v>10939</v>
      </c>
      <c r="W16" s="73">
        <v>166</v>
      </c>
      <c r="X16" s="73">
        <v>5527</v>
      </c>
      <c r="Y16" s="73">
        <v>5246</v>
      </c>
      <c r="Z16" s="73">
        <v>1826</v>
      </c>
      <c r="AA16" s="73">
        <v>0</v>
      </c>
      <c r="AB16" s="73">
        <v>0</v>
      </c>
      <c r="AC16" s="73">
        <v>0</v>
      </c>
      <c r="AD16" s="73">
        <v>1946</v>
      </c>
      <c r="AE16" s="73">
        <v>33237</v>
      </c>
      <c r="AF16" s="166">
        <v>0</v>
      </c>
      <c r="AG16" s="186">
        <v>88329</v>
      </c>
    </row>
    <row r="17" spans="1:33" s="133" customFormat="1" ht="22.5" customHeight="1">
      <c r="A17" s="284" t="s">
        <v>213</v>
      </c>
      <c r="B17" s="73">
        <v>185201</v>
      </c>
      <c r="C17" s="73">
        <v>44477</v>
      </c>
      <c r="D17" s="73">
        <v>15393</v>
      </c>
      <c r="E17" s="73">
        <v>13103</v>
      </c>
      <c r="F17" s="73">
        <v>14653</v>
      </c>
      <c r="G17" s="73">
        <v>1328</v>
      </c>
      <c r="H17" s="73">
        <v>2939</v>
      </c>
      <c r="I17" s="73">
        <v>75</v>
      </c>
      <c r="J17" s="73">
        <v>0</v>
      </c>
      <c r="K17" s="73">
        <v>3341</v>
      </c>
      <c r="L17" s="73">
        <v>34139</v>
      </c>
      <c r="M17" s="73">
        <v>17834</v>
      </c>
      <c r="N17" s="73">
        <v>0</v>
      </c>
      <c r="O17" s="73">
        <f>SUM(O19:O30)</f>
        <v>0</v>
      </c>
      <c r="P17" s="73">
        <v>16305</v>
      </c>
      <c r="Q17" s="253" t="s">
        <v>213</v>
      </c>
      <c r="R17" s="73">
        <v>11143</v>
      </c>
      <c r="S17" s="73">
        <v>0</v>
      </c>
      <c r="T17" s="73">
        <v>610</v>
      </c>
      <c r="U17" s="73">
        <v>10533</v>
      </c>
      <c r="V17" s="73">
        <v>12050</v>
      </c>
      <c r="W17" s="73">
        <v>128</v>
      </c>
      <c r="X17" s="73">
        <v>5528</v>
      </c>
      <c r="Y17" s="73">
        <v>6394</v>
      </c>
      <c r="Z17" s="73">
        <v>18211</v>
      </c>
      <c r="AA17" s="73">
        <v>0</v>
      </c>
      <c r="AB17" s="73">
        <v>0</v>
      </c>
      <c r="AC17" s="73">
        <v>0</v>
      </c>
      <c r="AD17" s="73">
        <v>1631</v>
      </c>
      <c r="AE17" s="73">
        <v>50110</v>
      </c>
      <c r="AF17" s="166">
        <v>10501</v>
      </c>
      <c r="AG17" s="186">
        <v>121848</v>
      </c>
    </row>
    <row r="18" spans="1:33" s="133" customFormat="1" ht="22.5" customHeight="1">
      <c r="A18" s="284" t="s">
        <v>258</v>
      </c>
      <c r="B18" s="73">
        <f>SUM(B19:B30)</f>
        <v>154364</v>
      </c>
      <c r="C18" s="73">
        <f>SUM(C19:C30)</f>
        <v>42430</v>
      </c>
      <c r="D18" s="73">
        <f aca="true" t="shared" si="3" ref="D18:M18">SUM(D19:D30)</f>
        <v>14994</v>
      </c>
      <c r="E18" s="73">
        <f t="shared" si="3"/>
        <v>11971</v>
      </c>
      <c r="F18" s="73">
        <f t="shared" si="3"/>
        <v>14329</v>
      </c>
      <c r="G18" s="73">
        <f t="shared" si="3"/>
        <v>1136</v>
      </c>
      <c r="H18" s="73">
        <f t="shared" si="3"/>
        <v>2936</v>
      </c>
      <c r="I18" s="73">
        <f t="shared" si="3"/>
        <v>67</v>
      </c>
      <c r="J18" s="73">
        <f t="shared" si="3"/>
        <v>0</v>
      </c>
      <c r="K18" s="73">
        <f t="shared" si="3"/>
        <v>3322</v>
      </c>
      <c r="L18" s="73">
        <f t="shared" si="3"/>
        <v>59049</v>
      </c>
      <c r="M18" s="73">
        <f t="shared" si="3"/>
        <v>9591</v>
      </c>
      <c r="N18" s="73">
        <v>0</v>
      </c>
      <c r="O18" s="73">
        <v>0</v>
      </c>
      <c r="P18" s="73">
        <f>SUM(P19:P30)</f>
        <v>49458</v>
      </c>
      <c r="Q18" s="253" t="s">
        <v>258</v>
      </c>
      <c r="R18" s="73">
        <f aca="true" t="shared" si="4" ref="R18:Z18">SUM(R19:R30)</f>
        <v>13410</v>
      </c>
      <c r="S18" s="73">
        <f t="shared" si="4"/>
        <v>299</v>
      </c>
      <c r="T18" s="73">
        <f t="shared" si="4"/>
        <v>370</v>
      </c>
      <c r="U18" s="73">
        <f t="shared" si="4"/>
        <v>12741</v>
      </c>
      <c r="V18" s="73">
        <f t="shared" si="4"/>
        <v>5951</v>
      </c>
      <c r="W18" s="73">
        <f t="shared" si="4"/>
        <v>128</v>
      </c>
      <c r="X18" s="73">
        <f t="shared" si="4"/>
        <v>5823</v>
      </c>
      <c r="Y18" s="73">
        <f t="shared" si="4"/>
        <v>8006</v>
      </c>
      <c r="Z18" s="73">
        <f t="shared" si="4"/>
        <v>0</v>
      </c>
      <c r="AA18" s="73">
        <v>0</v>
      </c>
      <c r="AB18" s="73">
        <v>0</v>
      </c>
      <c r="AC18" s="73">
        <v>0</v>
      </c>
      <c r="AD18" s="73">
        <f>SUM(AD19:AD30)</f>
        <v>770</v>
      </c>
      <c r="AE18" s="73">
        <f>SUM(AE19:AE30)</f>
        <v>35032</v>
      </c>
      <c r="AF18" s="166">
        <f>SUM(AF19:AF30)</f>
        <v>-5214</v>
      </c>
      <c r="AG18" s="186">
        <v>129947</v>
      </c>
    </row>
    <row r="19" spans="1:33" s="133" customFormat="1" ht="22.5" customHeight="1" hidden="1">
      <c r="A19" s="285" t="s">
        <v>182</v>
      </c>
      <c r="B19" s="73">
        <f aca="true" t="shared" si="5" ref="B19:B30">C19+H19+L19+R19+V19+Z19+AF19+AE19+AD19+AC19</f>
        <v>11987</v>
      </c>
      <c r="C19" s="73">
        <f>SUM(D19:G19)</f>
        <v>7140</v>
      </c>
      <c r="D19" s="73">
        <v>3525</v>
      </c>
      <c r="E19" s="73">
        <v>1245</v>
      </c>
      <c r="F19" s="73">
        <v>2192</v>
      </c>
      <c r="G19" s="73">
        <v>178</v>
      </c>
      <c r="H19" s="73">
        <v>0</v>
      </c>
      <c r="I19" s="73">
        <v>0</v>
      </c>
      <c r="J19" s="73">
        <v>0</v>
      </c>
      <c r="K19" s="73">
        <v>275</v>
      </c>
      <c r="L19" s="73">
        <f>SUM(M19:P19)</f>
        <v>1610</v>
      </c>
      <c r="M19" s="185">
        <v>1193</v>
      </c>
      <c r="N19" s="55">
        <v>0</v>
      </c>
      <c r="O19" s="73">
        <v>0</v>
      </c>
      <c r="P19" s="73">
        <v>417</v>
      </c>
      <c r="Q19" s="73" t="s">
        <v>182</v>
      </c>
      <c r="R19" s="73">
        <f>SUM(S19:U19)</f>
        <v>1522</v>
      </c>
      <c r="S19" s="73">
        <v>0</v>
      </c>
      <c r="T19" s="73">
        <v>0</v>
      </c>
      <c r="U19" s="73">
        <v>1522</v>
      </c>
      <c r="V19" s="73">
        <f>W19+X19</f>
        <v>547</v>
      </c>
      <c r="W19" s="73">
        <v>0</v>
      </c>
      <c r="X19" s="73">
        <v>547</v>
      </c>
      <c r="Y19" s="73">
        <v>1809</v>
      </c>
      <c r="Z19" s="73">
        <f>AA19+AB19</f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166">
        <f>1168</f>
        <v>1168</v>
      </c>
      <c r="AG19" s="186">
        <v>117348</v>
      </c>
    </row>
    <row r="20" spans="1:33" s="132" customFormat="1" ht="22.5" customHeight="1" hidden="1">
      <c r="A20" s="285" t="s">
        <v>183</v>
      </c>
      <c r="B20" s="73">
        <f t="shared" si="5"/>
        <v>10327</v>
      </c>
      <c r="C20" s="73">
        <f>SUM(D20:G20)</f>
        <v>3547</v>
      </c>
      <c r="D20" s="73">
        <v>1170</v>
      </c>
      <c r="E20" s="73">
        <v>1014</v>
      </c>
      <c r="F20" s="73">
        <v>1278</v>
      </c>
      <c r="G20" s="73">
        <v>85</v>
      </c>
      <c r="H20" s="73">
        <v>0</v>
      </c>
      <c r="I20" s="73">
        <v>0</v>
      </c>
      <c r="J20" s="73"/>
      <c r="K20" s="73">
        <v>178</v>
      </c>
      <c r="L20" s="73">
        <f aca="true" t="shared" si="6" ref="L20:L33">SUM(M20:P20)</f>
        <v>1174</v>
      </c>
      <c r="M20" s="73">
        <v>840</v>
      </c>
      <c r="N20" s="73">
        <v>0</v>
      </c>
      <c r="O20" s="73">
        <v>0</v>
      </c>
      <c r="P20" s="73">
        <v>334</v>
      </c>
      <c r="Q20" s="73" t="s">
        <v>183</v>
      </c>
      <c r="R20" s="73">
        <f aca="true" t="shared" si="7" ref="R20:R33">SUM(S20:U20)</f>
        <v>1163</v>
      </c>
      <c r="S20" s="73">
        <v>51</v>
      </c>
      <c r="T20" s="73">
        <v>0</v>
      </c>
      <c r="U20" s="73">
        <v>1112</v>
      </c>
      <c r="V20" s="73">
        <f aca="true" t="shared" si="8" ref="V20:V30">W20+X20</f>
        <v>530</v>
      </c>
      <c r="W20" s="73">
        <v>0</v>
      </c>
      <c r="X20" s="73">
        <v>530</v>
      </c>
      <c r="Y20" s="73">
        <v>0</v>
      </c>
      <c r="Z20" s="73">
        <f aca="true" t="shared" si="9" ref="Z20:Z33">AA20+AB20</f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5035</v>
      </c>
      <c r="AF20" s="166">
        <v>-1122</v>
      </c>
      <c r="AG20" s="186">
        <v>115383</v>
      </c>
    </row>
    <row r="21" spans="1:33" s="133" customFormat="1" ht="22.5" customHeight="1" hidden="1">
      <c r="A21" s="285" t="s">
        <v>184</v>
      </c>
      <c r="B21" s="73">
        <f t="shared" si="5"/>
        <v>9783</v>
      </c>
      <c r="C21" s="73">
        <f aca="true" t="shared" si="10" ref="C21:C32">SUM(D21:G21)</f>
        <v>3821</v>
      </c>
      <c r="D21" s="73">
        <v>1630</v>
      </c>
      <c r="E21" s="73">
        <v>1146</v>
      </c>
      <c r="F21" s="73">
        <v>926</v>
      </c>
      <c r="G21" s="73">
        <v>119</v>
      </c>
      <c r="H21" s="73">
        <f aca="true" t="shared" si="11" ref="H21:H33">SUM(I21:K21)</f>
        <v>170</v>
      </c>
      <c r="I21" s="73">
        <v>0</v>
      </c>
      <c r="J21" s="73">
        <v>0</v>
      </c>
      <c r="K21" s="73">
        <v>170</v>
      </c>
      <c r="L21" s="73">
        <f t="shared" si="6"/>
        <v>594</v>
      </c>
      <c r="M21" s="73">
        <v>376</v>
      </c>
      <c r="N21" s="73">
        <v>0</v>
      </c>
      <c r="O21" s="73">
        <v>0</v>
      </c>
      <c r="P21" s="73">
        <v>218</v>
      </c>
      <c r="Q21" s="73" t="s">
        <v>184</v>
      </c>
      <c r="R21" s="73">
        <f t="shared" si="7"/>
        <v>744</v>
      </c>
      <c r="S21" s="73">
        <v>23</v>
      </c>
      <c r="T21" s="73">
        <v>25</v>
      </c>
      <c r="U21" s="73">
        <v>696</v>
      </c>
      <c r="V21" s="73">
        <f t="shared" si="8"/>
        <v>333</v>
      </c>
      <c r="W21" s="73">
        <v>0</v>
      </c>
      <c r="X21" s="73">
        <v>333</v>
      </c>
      <c r="Y21" s="73">
        <v>0</v>
      </c>
      <c r="Z21" s="73">
        <f t="shared" si="9"/>
        <v>0</v>
      </c>
      <c r="AA21" s="73">
        <v>0</v>
      </c>
      <c r="AB21" s="73">
        <v>0</v>
      </c>
      <c r="AC21" s="73">
        <v>0</v>
      </c>
      <c r="AD21" s="73">
        <v>74</v>
      </c>
      <c r="AE21" s="73">
        <v>1972</v>
      </c>
      <c r="AF21" s="166">
        <f>1972+50+22+31</f>
        <v>2075</v>
      </c>
      <c r="AG21" s="186">
        <v>127618</v>
      </c>
    </row>
    <row r="22" spans="1:33" s="133" customFormat="1" ht="22.5" customHeight="1" hidden="1">
      <c r="A22" s="285" t="s">
        <v>185</v>
      </c>
      <c r="B22" s="73">
        <f t="shared" si="5"/>
        <v>5754</v>
      </c>
      <c r="C22" s="73">
        <f t="shared" si="10"/>
        <v>1894</v>
      </c>
      <c r="D22" s="73">
        <v>1171</v>
      </c>
      <c r="E22" s="73">
        <v>617</v>
      </c>
      <c r="F22" s="73">
        <v>101</v>
      </c>
      <c r="G22" s="73">
        <v>5</v>
      </c>
      <c r="H22" s="73">
        <f t="shared" si="11"/>
        <v>77</v>
      </c>
      <c r="I22" s="73">
        <v>1</v>
      </c>
      <c r="J22" s="73">
        <v>0</v>
      </c>
      <c r="K22" s="73">
        <v>76</v>
      </c>
      <c r="L22" s="73">
        <f t="shared" si="6"/>
        <v>824</v>
      </c>
      <c r="M22" s="73">
        <v>17</v>
      </c>
      <c r="N22" s="73">
        <v>0</v>
      </c>
      <c r="O22" s="73">
        <v>0</v>
      </c>
      <c r="P22" s="73">
        <v>807</v>
      </c>
      <c r="Q22" s="73" t="s">
        <v>185</v>
      </c>
      <c r="R22" s="73">
        <f t="shared" si="7"/>
        <v>131</v>
      </c>
      <c r="S22" s="73">
        <v>24</v>
      </c>
      <c r="T22" s="73">
        <v>23</v>
      </c>
      <c r="U22" s="73">
        <v>84</v>
      </c>
      <c r="V22" s="73">
        <f t="shared" si="8"/>
        <v>353</v>
      </c>
      <c r="W22" s="73">
        <v>43</v>
      </c>
      <c r="X22" s="73">
        <v>310</v>
      </c>
      <c r="Y22" s="73">
        <v>0</v>
      </c>
      <c r="Z22" s="73">
        <f t="shared" si="9"/>
        <v>0</v>
      </c>
      <c r="AA22" s="73">
        <v>0</v>
      </c>
      <c r="AB22" s="73">
        <v>0</v>
      </c>
      <c r="AC22" s="73">
        <v>0</v>
      </c>
      <c r="AD22" s="73">
        <v>14</v>
      </c>
      <c r="AE22" s="73">
        <v>2274</v>
      </c>
      <c r="AF22" s="166">
        <f>25+18+144</f>
        <v>187</v>
      </c>
      <c r="AG22" s="186">
        <v>130140</v>
      </c>
    </row>
    <row r="23" spans="1:33" s="133" customFormat="1" ht="22.5" customHeight="1" hidden="1">
      <c r="A23" s="285" t="s">
        <v>186</v>
      </c>
      <c r="B23" s="73">
        <f t="shared" si="5"/>
        <v>11471</v>
      </c>
      <c r="C23" s="73">
        <f t="shared" si="10"/>
        <v>4224</v>
      </c>
      <c r="D23" s="73">
        <v>1185</v>
      </c>
      <c r="E23" s="73">
        <v>1039</v>
      </c>
      <c r="F23" s="73">
        <v>1842</v>
      </c>
      <c r="G23" s="73">
        <v>158</v>
      </c>
      <c r="H23" s="73">
        <f t="shared" si="11"/>
        <v>269</v>
      </c>
      <c r="I23" s="73">
        <v>0</v>
      </c>
      <c r="J23" s="73">
        <v>0</v>
      </c>
      <c r="K23" s="73">
        <v>269</v>
      </c>
      <c r="L23" s="73">
        <f t="shared" si="6"/>
        <v>2764</v>
      </c>
      <c r="M23" s="73">
        <v>671</v>
      </c>
      <c r="N23" s="73">
        <v>0</v>
      </c>
      <c r="O23" s="73">
        <v>0</v>
      </c>
      <c r="P23" s="73">
        <v>2093</v>
      </c>
      <c r="Q23" s="73" t="s">
        <v>186</v>
      </c>
      <c r="R23" s="73">
        <f t="shared" si="7"/>
        <v>1193</v>
      </c>
      <c r="S23" s="73">
        <v>24</v>
      </c>
      <c r="T23" s="73">
        <v>37</v>
      </c>
      <c r="U23" s="73">
        <v>1132</v>
      </c>
      <c r="V23" s="73">
        <f t="shared" si="8"/>
        <v>490</v>
      </c>
      <c r="W23" s="73">
        <v>1</v>
      </c>
      <c r="X23" s="73">
        <v>489</v>
      </c>
      <c r="Y23" s="73">
        <v>0</v>
      </c>
      <c r="Z23" s="73">
        <f t="shared" si="9"/>
        <v>0</v>
      </c>
      <c r="AA23" s="73">
        <v>0</v>
      </c>
      <c r="AB23" s="73">
        <v>0</v>
      </c>
      <c r="AC23" s="73">
        <v>0</v>
      </c>
      <c r="AD23" s="73">
        <v>4</v>
      </c>
      <c r="AE23" s="73">
        <v>1713</v>
      </c>
      <c r="AF23" s="166">
        <f>592+87+135</f>
        <v>814</v>
      </c>
      <c r="AG23" s="186">
        <v>127386</v>
      </c>
    </row>
    <row r="24" spans="1:33" s="133" customFormat="1" ht="22.5" customHeight="1" hidden="1">
      <c r="A24" s="285" t="s">
        <v>187</v>
      </c>
      <c r="B24" s="73">
        <f t="shared" si="5"/>
        <v>33455</v>
      </c>
      <c r="C24" s="73">
        <f t="shared" si="10"/>
        <v>3018</v>
      </c>
      <c r="D24" s="73">
        <v>1067</v>
      </c>
      <c r="E24" s="73">
        <v>762</v>
      </c>
      <c r="F24" s="73">
        <v>1107</v>
      </c>
      <c r="G24" s="73">
        <v>82</v>
      </c>
      <c r="H24" s="73">
        <f t="shared" si="11"/>
        <v>175</v>
      </c>
      <c r="I24" s="73">
        <v>1</v>
      </c>
      <c r="J24" s="73">
        <v>0</v>
      </c>
      <c r="K24" s="73">
        <v>174</v>
      </c>
      <c r="L24" s="73">
        <f t="shared" si="6"/>
        <v>11904</v>
      </c>
      <c r="M24" s="73">
        <v>428</v>
      </c>
      <c r="N24" s="73">
        <v>0</v>
      </c>
      <c r="O24" s="73">
        <v>0</v>
      </c>
      <c r="P24" s="73">
        <v>11476</v>
      </c>
      <c r="Q24" s="73" t="s">
        <v>187</v>
      </c>
      <c r="R24" s="73">
        <f t="shared" si="7"/>
        <v>1019</v>
      </c>
      <c r="S24" s="73">
        <v>24</v>
      </c>
      <c r="T24" s="73">
        <v>6</v>
      </c>
      <c r="U24" s="73">
        <v>989</v>
      </c>
      <c r="V24" s="73">
        <f t="shared" si="8"/>
        <v>332</v>
      </c>
      <c r="W24" s="73">
        <v>4</v>
      </c>
      <c r="X24" s="73">
        <v>328</v>
      </c>
      <c r="Y24" s="73">
        <v>0</v>
      </c>
      <c r="Z24" s="73">
        <f t="shared" si="9"/>
        <v>0</v>
      </c>
      <c r="AA24" s="73">
        <v>0</v>
      </c>
      <c r="AB24" s="73">
        <v>0</v>
      </c>
      <c r="AC24" s="73">
        <v>0</v>
      </c>
      <c r="AD24" s="73">
        <v>43</v>
      </c>
      <c r="AE24" s="73">
        <v>14489</v>
      </c>
      <c r="AF24" s="166">
        <f>337+2138</f>
        <v>2475</v>
      </c>
      <c r="AG24" s="186">
        <v>122124</v>
      </c>
    </row>
    <row r="25" spans="1:33" s="133" customFormat="1" ht="22.5" customHeight="1" hidden="1">
      <c r="A25" s="285" t="s">
        <v>188</v>
      </c>
      <c r="B25" s="73">
        <f t="shared" si="5"/>
        <v>10084</v>
      </c>
      <c r="C25" s="73">
        <f t="shared" si="10"/>
        <v>3063</v>
      </c>
      <c r="D25" s="73">
        <v>1067</v>
      </c>
      <c r="E25" s="73">
        <v>839</v>
      </c>
      <c r="F25" s="73">
        <v>1071</v>
      </c>
      <c r="G25" s="73">
        <v>86</v>
      </c>
      <c r="H25" s="73">
        <f t="shared" si="11"/>
        <v>160</v>
      </c>
      <c r="I25" s="73">
        <v>6</v>
      </c>
      <c r="J25" s="73">
        <v>0</v>
      </c>
      <c r="K25" s="73">
        <v>154</v>
      </c>
      <c r="L25" s="73">
        <f t="shared" si="6"/>
        <v>851</v>
      </c>
      <c r="M25" s="73">
        <v>369</v>
      </c>
      <c r="N25" s="73">
        <v>0</v>
      </c>
      <c r="O25" s="73">
        <v>0</v>
      </c>
      <c r="P25" s="73">
        <v>482</v>
      </c>
      <c r="Q25" s="73" t="s">
        <v>214</v>
      </c>
      <c r="R25" s="73">
        <f t="shared" si="7"/>
        <v>728</v>
      </c>
      <c r="S25" s="73">
        <v>24</v>
      </c>
      <c r="T25" s="73">
        <v>44</v>
      </c>
      <c r="U25" s="73">
        <v>660</v>
      </c>
      <c r="V25" s="73">
        <f t="shared" si="8"/>
        <v>360</v>
      </c>
      <c r="W25" s="73">
        <v>3</v>
      </c>
      <c r="X25" s="73">
        <v>357</v>
      </c>
      <c r="Y25" s="73">
        <v>2111</v>
      </c>
      <c r="Z25" s="73">
        <f t="shared" si="9"/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102</v>
      </c>
      <c r="AF25" s="166">
        <f>78+4742</f>
        <v>4820</v>
      </c>
      <c r="AG25" s="186">
        <v>118387</v>
      </c>
    </row>
    <row r="26" spans="1:33" s="133" customFormat="1" ht="22.5" customHeight="1" hidden="1">
      <c r="A26" s="285" t="s">
        <v>189</v>
      </c>
      <c r="B26" s="73">
        <f t="shared" si="5"/>
        <v>11926</v>
      </c>
      <c r="C26" s="73">
        <f t="shared" si="10"/>
        <v>3032</v>
      </c>
      <c r="D26" s="73">
        <v>1067</v>
      </c>
      <c r="E26" s="73">
        <v>859</v>
      </c>
      <c r="F26" s="73">
        <v>1027</v>
      </c>
      <c r="G26" s="73">
        <v>79</v>
      </c>
      <c r="H26" s="73">
        <f t="shared" si="11"/>
        <v>264</v>
      </c>
      <c r="I26" s="73">
        <v>40</v>
      </c>
      <c r="J26" s="73">
        <v>0</v>
      </c>
      <c r="K26" s="73">
        <v>224</v>
      </c>
      <c r="L26" s="73">
        <f t="shared" si="6"/>
        <v>835</v>
      </c>
      <c r="M26" s="73">
        <v>337</v>
      </c>
      <c r="N26" s="73">
        <v>0</v>
      </c>
      <c r="O26" s="73">
        <v>0</v>
      </c>
      <c r="P26" s="73">
        <v>498</v>
      </c>
      <c r="Q26" s="73" t="s">
        <v>189</v>
      </c>
      <c r="R26" s="73">
        <f t="shared" si="7"/>
        <v>740</v>
      </c>
      <c r="S26" s="73">
        <v>25</v>
      </c>
      <c r="T26" s="73">
        <v>49</v>
      </c>
      <c r="U26" s="73">
        <v>666</v>
      </c>
      <c r="V26" s="73">
        <f t="shared" si="8"/>
        <v>340</v>
      </c>
      <c r="W26" s="73">
        <v>2</v>
      </c>
      <c r="X26" s="73">
        <v>338</v>
      </c>
      <c r="Y26" s="73">
        <v>0</v>
      </c>
      <c r="Z26" s="73">
        <f t="shared" si="9"/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5802</v>
      </c>
      <c r="AF26" s="166">
        <f>591+322</f>
        <v>913</v>
      </c>
      <c r="AG26" s="186">
        <v>127955</v>
      </c>
    </row>
    <row r="27" spans="1:33" s="133" customFormat="1" ht="22.5" customHeight="1" hidden="1">
      <c r="A27" s="285" t="s">
        <v>190</v>
      </c>
      <c r="B27" s="73">
        <f t="shared" si="5"/>
        <v>10210</v>
      </c>
      <c r="C27" s="73">
        <f t="shared" si="10"/>
        <v>3026</v>
      </c>
      <c r="D27" s="73">
        <v>1067</v>
      </c>
      <c r="E27" s="73">
        <v>878</v>
      </c>
      <c r="F27" s="73">
        <v>998</v>
      </c>
      <c r="G27" s="73">
        <v>83</v>
      </c>
      <c r="H27" s="73">
        <f t="shared" si="11"/>
        <v>500</v>
      </c>
      <c r="I27" s="73">
        <v>0</v>
      </c>
      <c r="J27" s="73">
        <v>0</v>
      </c>
      <c r="K27" s="73">
        <v>500</v>
      </c>
      <c r="L27" s="73">
        <f t="shared" si="6"/>
        <v>4338</v>
      </c>
      <c r="M27" s="73">
        <v>6</v>
      </c>
      <c r="N27" s="73">
        <v>0</v>
      </c>
      <c r="O27" s="73">
        <v>0</v>
      </c>
      <c r="P27" s="73">
        <v>4332</v>
      </c>
      <c r="Q27" s="73" t="s">
        <v>190</v>
      </c>
      <c r="R27" s="73">
        <f t="shared" si="7"/>
        <v>1275</v>
      </c>
      <c r="S27" s="73">
        <v>24</v>
      </c>
      <c r="T27" s="73">
        <v>8</v>
      </c>
      <c r="U27" s="73">
        <v>1243</v>
      </c>
      <c r="V27" s="73">
        <f t="shared" si="8"/>
        <v>1327</v>
      </c>
      <c r="W27" s="185">
        <v>0</v>
      </c>
      <c r="X27" s="73">
        <f>328+999</f>
        <v>1327</v>
      </c>
      <c r="Y27" s="73">
        <v>0</v>
      </c>
      <c r="Z27" s="73">
        <f t="shared" si="9"/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48</v>
      </c>
      <c r="AF27" s="166">
        <f>131-435</f>
        <v>-304</v>
      </c>
      <c r="AG27" s="186">
        <v>130825</v>
      </c>
    </row>
    <row r="28" spans="1:33" s="133" customFormat="1" ht="22.5" customHeight="1" hidden="1">
      <c r="A28" s="285" t="s">
        <v>191</v>
      </c>
      <c r="B28" s="73">
        <f t="shared" si="5"/>
        <v>12558</v>
      </c>
      <c r="C28" s="73">
        <f t="shared" si="10"/>
        <v>3169</v>
      </c>
      <c r="D28" s="73">
        <v>1067</v>
      </c>
      <c r="E28" s="73">
        <v>835</v>
      </c>
      <c r="F28" s="73">
        <v>1187</v>
      </c>
      <c r="G28" s="73">
        <v>80</v>
      </c>
      <c r="H28" s="73">
        <f t="shared" si="11"/>
        <v>117</v>
      </c>
      <c r="I28" s="73">
        <v>5</v>
      </c>
      <c r="J28" s="73">
        <v>0</v>
      </c>
      <c r="K28" s="73">
        <v>112</v>
      </c>
      <c r="L28" s="73">
        <f t="shared" si="6"/>
        <v>7164</v>
      </c>
      <c r="M28" s="73">
        <v>326</v>
      </c>
      <c r="N28" s="73">
        <v>0</v>
      </c>
      <c r="O28" s="73">
        <v>0</v>
      </c>
      <c r="P28" s="73">
        <v>6838</v>
      </c>
      <c r="Q28" s="73" t="s">
        <v>191</v>
      </c>
      <c r="R28" s="73">
        <f t="shared" si="7"/>
        <v>682</v>
      </c>
      <c r="S28" s="73">
        <v>24</v>
      </c>
      <c r="T28" s="73">
        <v>40</v>
      </c>
      <c r="U28" s="73">
        <v>618</v>
      </c>
      <c r="V28" s="73">
        <f t="shared" si="8"/>
        <v>426</v>
      </c>
      <c r="W28" s="73">
        <v>45</v>
      </c>
      <c r="X28" s="73">
        <v>381</v>
      </c>
      <c r="Y28" s="73">
        <v>0</v>
      </c>
      <c r="Z28" s="73">
        <f t="shared" si="9"/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246</v>
      </c>
      <c r="AF28" s="166">
        <f>232+522</f>
        <v>754</v>
      </c>
      <c r="AG28" s="186">
        <v>128645</v>
      </c>
    </row>
    <row r="29" spans="1:33" s="133" customFormat="1" ht="22.5" customHeight="1" hidden="1">
      <c r="A29" s="285" t="s">
        <v>192</v>
      </c>
      <c r="B29" s="73">
        <f t="shared" si="5"/>
        <v>5060</v>
      </c>
      <c r="C29" s="73">
        <f t="shared" si="10"/>
        <v>2201</v>
      </c>
      <c r="D29" s="73">
        <v>0</v>
      </c>
      <c r="E29" s="73">
        <v>990</v>
      </c>
      <c r="F29" s="73">
        <v>1124</v>
      </c>
      <c r="G29" s="73">
        <v>87</v>
      </c>
      <c r="H29" s="73">
        <f t="shared" si="11"/>
        <v>169</v>
      </c>
      <c r="I29" s="73">
        <v>4</v>
      </c>
      <c r="J29" s="73">
        <v>0</v>
      </c>
      <c r="K29" s="73">
        <v>165</v>
      </c>
      <c r="L29" s="73">
        <f t="shared" si="6"/>
        <v>1626</v>
      </c>
      <c r="M29" s="73">
        <v>413</v>
      </c>
      <c r="N29" s="73">
        <v>0</v>
      </c>
      <c r="O29" s="73">
        <v>0</v>
      </c>
      <c r="P29" s="73">
        <v>1213</v>
      </c>
      <c r="Q29" s="73" t="s">
        <v>192</v>
      </c>
      <c r="R29" s="73">
        <f t="shared" si="7"/>
        <v>747</v>
      </c>
      <c r="S29" s="73">
        <v>23</v>
      </c>
      <c r="T29" s="73">
        <v>15</v>
      </c>
      <c r="U29" s="73">
        <v>709</v>
      </c>
      <c r="V29" s="73">
        <f t="shared" si="8"/>
        <v>361</v>
      </c>
      <c r="W29" s="73">
        <v>2</v>
      </c>
      <c r="X29" s="73">
        <v>359</v>
      </c>
      <c r="Y29" s="73">
        <v>2812</v>
      </c>
      <c r="Z29" s="73">
        <f t="shared" si="9"/>
        <v>0</v>
      </c>
      <c r="AA29" s="73">
        <v>0</v>
      </c>
      <c r="AB29" s="73">
        <v>0</v>
      </c>
      <c r="AC29" s="73">
        <v>0</v>
      </c>
      <c r="AD29" s="73">
        <v>419</v>
      </c>
      <c r="AE29" s="73">
        <v>2277</v>
      </c>
      <c r="AF29" s="166">
        <v>-2740</v>
      </c>
      <c r="AG29" s="186">
        <v>133201</v>
      </c>
    </row>
    <row r="30" spans="1:33" s="133" customFormat="1" ht="22.5" customHeight="1" hidden="1">
      <c r="A30" s="285" t="s">
        <v>193</v>
      </c>
      <c r="B30" s="73">
        <f t="shared" si="5"/>
        <v>21749</v>
      </c>
      <c r="C30" s="73">
        <f t="shared" si="10"/>
        <v>4295</v>
      </c>
      <c r="D30" s="73">
        <v>978</v>
      </c>
      <c r="E30" s="73">
        <v>1747</v>
      </c>
      <c r="F30" s="73">
        <v>1476</v>
      </c>
      <c r="G30" s="73">
        <v>94</v>
      </c>
      <c r="H30" s="73">
        <f t="shared" si="11"/>
        <v>1035</v>
      </c>
      <c r="I30" s="73">
        <v>10</v>
      </c>
      <c r="J30" s="73">
        <v>0</v>
      </c>
      <c r="K30" s="73">
        <v>1025</v>
      </c>
      <c r="L30" s="73">
        <f t="shared" si="6"/>
        <v>25365</v>
      </c>
      <c r="M30" s="73">
        <v>4615</v>
      </c>
      <c r="N30" s="73">
        <v>0</v>
      </c>
      <c r="O30" s="73">
        <v>0</v>
      </c>
      <c r="P30" s="73">
        <v>20750</v>
      </c>
      <c r="Q30" s="73" t="s">
        <v>193</v>
      </c>
      <c r="R30" s="73">
        <f t="shared" si="7"/>
        <v>3466</v>
      </c>
      <c r="S30" s="73">
        <v>33</v>
      </c>
      <c r="T30" s="73">
        <v>123</v>
      </c>
      <c r="U30" s="73">
        <v>3310</v>
      </c>
      <c r="V30" s="73">
        <f t="shared" si="8"/>
        <v>552</v>
      </c>
      <c r="W30" s="73">
        <v>28</v>
      </c>
      <c r="X30" s="73">
        <v>524</v>
      </c>
      <c r="Y30" s="73">
        <v>1274</v>
      </c>
      <c r="Z30" s="73">
        <f t="shared" si="9"/>
        <v>0</v>
      </c>
      <c r="AA30" s="73">
        <v>0</v>
      </c>
      <c r="AB30" s="73">
        <v>0</v>
      </c>
      <c r="AC30" s="73">
        <v>0</v>
      </c>
      <c r="AD30" s="73">
        <v>216</v>
      </c>
      <c r="AE30" s="73">
        <v>1074</v>
      </c>
      <c r="AF30" s="166">
        <f>-9349+-4905</f>
        <v>-14254</v>
      </c>
      <c r="AG30" s="186">
        <v>129947</v>
      </c>
    </row>
    <row r="31" spans="1:33" s="133" customFormat="1" ht="22.5" customHeight="1">
      <c r="A31" s="284" t="s">
        <v>318</v>
      </c>
      <c r="B31" s="73">
        <f aca="true" t="shared" si="12" ref="B31:B36">C31+H31+L31+R31+V31+Z31+AC31+AD31+AE31+AF31</f>
        <v>168246</v>
      </c>
      <c r="C31" s="73">
        <f t="shared" si="10"/>
        <v>43035</v>
      </c>
      <c r="D31" s="73">
        <f>12121+332</f>
        <v>12453</v>
      </c>
      <c r="E31" s="73">
        <f>11758+1082</f>
        <v>12840</v>
      </c>
      <c r="F31" s="73">
        <f>15769+429</f>
        <v>16198</v>
      </c>
      <c r="G31" s="73">
        <v>1544</v>
      </c>
      <c r="H31" s="73">
        <f t="shared" si="11"/>
        <v>3041</v>
      </c>
      <c r="I31" s="73">
        <v>60</v>
      </c>
      <c r="J31" s="73">
        <v>0</v>
      </c>
      <c r="K31" s="73">
        <f>2944+37</f>
        <v>2981</v>
      </c>
      <c r="L31" s="73">
        <f t="shared" si="6"/>
        <v>34100</v>
      </c>
      <c r="M31" s="73">
        <f>13003+6</f>
        <v>13009</v>
      </c>
      <c r="N31" s="73">
        <v>0</v>
      </c>
      <c r="O31" s="73">
        <v>0</v>
      </c>
      <c r="P31" s="73">
        <f>3447+17644</f>
        <v>21091</v>
      </c>
      <c r="Q31" s="253" t="s">
        <v>318</v>
      </c>
      <c r="R31" s="73">
        <f t="shared" si="7"/>
        <v>12685</v>
      </c>
      <c r="S31" s="73">
        <v>313</v>
      </c>
      <c r="T31" s="73">
        <v>390</v>
      </c>
      <c r="U31" s="73">
        <f>11149+833</f>
        <v>11982</v>
      </c>
      <c r="V31" s="73">
        <f aca="true" t="shared" si="13" ref="V31:V36">W31+X31+Y31</f>
        <v>13283</v>
      </c>
      <c r="W31" s="73">
        <v>80</v>
      </c>
      <c r="X31" s="73">
        <f>6077+227</f>
        <v>6304</v>
      </c>
      <c r="Y31" s="73">
        <v>6899</v>
      </c>
      <c r="Z31" s="73">
        <f t="shared" si="9"/>
        <v>0</v>
      </c>
      <c r="AA31" s="73">
        <v>0</v>
      </c>
      <c r="AB31" s="73">
        <v>0</v>
      </c>
      <c r="AC31" s="73">
        <v>0</v>
      </c>
      <c r="AD31" s="73">
        <f>377+1535</f>
        <v>1912</v>
      </c>
      <c r="AE31" s="73">
        <v>60190</v>
      </c>
      <c r="AF31" s="166">
        <v>0</v>
      </c>
      <c r="AG31" s="186">
        <v>146410</v>
      </c>
    </row>
    <row r="32" spans="1:33" s="133" customFormat="1" ht="22.5" customHeight="1">
      <c r="A32" s="284" t="s">
        <v>325</v>
      </c>
      <c r="B32" s="73">
        <f t="shared" si="12"/>
        <v>159251</v>
      </c>
      <c r="C32" s="73">
        <f t="shared" si="10"/>
        <v>50097</v>
      </c>
      <c r="D32" s="73">
        <v>13825</v>
      </c>
      <c r="E32" s="73">
        <v>15955</v>
      </c>
      <c r="F32" s="73">
        <v>18836</v>
      </c>
      <c r="G32" s="73">
        <v>1481</v>
      </c>
      <c r="H32" s="73">
        <f t="shared" si="11"/>
        <v>6629</v>
      </c>
      <c r="I32" s="73">
        <v>3818</v>
      </c>
      <c r="J32" s="73">
        <v>0</v>
      </c>
      <c r="K32" s="73">
        <v>2811</v>
      </c>
      <c r="L32" s="73">
        <f t="shared" si="6"/>
        <v>24032</v>
      </c>
      <c r="M32" s="73">
        <v>11763</v>
      </c>
      <c r="N32" s="73">
        <v>0</v>
      </c>
      <c r="O32" s="73">
        <v>1318</v>
      </c>
      <c r="P32" s="73">
        <v>10951</v>
      </c>
      <c r="Q32" s="253" t="s">
        <v>325</v>
      </c>
      <c r="R32" s="73">
        <f t="shared" si="7"/>
        <v>7125</v>
      </c>
      <c r="S32" s="73">
        <v>317</v>
      </c>
      <c r="T32" s="73">
        <v>349</v>
      </c>
      <c r="U32" s="73">
        <v>6459</v>
      </c>
      <c r="V32" s="73">
        <f t="shared" si="13"/>
        <v>14990</v>
      </c>
      <c r="W32" s="73">
        <v>125</v>
      </c>
      <c r="X32" s="73">
        <v>7926</v>
      </c>
      <c r="Y32" s="73">
        <v>6939</v>
      </c>
      <c r="Z32" s="73">
        <f t="shared" si="9"/>
        <v>0</v>
      </c>
      <c r="AA32" s="73">
        <v>0</v>
      </c>
      <c r="AB32" s="73">
        <v>0</v>
      </c>
      <c r="AC32" s="73">
        <v>0</v>
      </c>
      <c r="AD32" s="73">
        <v>505</v>
      </c>
      <c r="AE32" s="73">
        <v>55873</v>
      </c>
      <c r="AF32" s="166">
        <v>0</v>
      </c>
      <c r="AG32" s="186">
        <v>194736</v>
      </c>
    </row>
    <row r="33" spans="1:33" s="133" customFormat="1" ht="22.5" customHeight="1">
      <c r="A33" s="284" t="s">
        <v>335</v>
      </c>
      <c r="B33" s="73">
        <f t="shared" si="12"/>
        <v>159364</v>
      </c>
      <c r="C33" s="73">
        <f>SUM(D33:G33)</f>
        <v>51375</v>
      </c>
      <c r="D33" s="73">
        <v>14825</v>
      </c>
      <c r="E33" s="73">
        <v>14782</v>
      </c>
      <c r="F33" s="73">
        <v>20396</v>
      </c>
      <c r="G33" s="73">
        <v>1372</v>
      </c>
      <c r="H33" s="73">
        <f t="shared" si="11"/>
        <v>6411</v>
      </c>
      <c r="I33" s="73">
        <v>3319</v>
      </c>
      <c r="J33" s="73">
        <v>0</v>
      </c>
      <c r="K33" s="73">
        <v>3092</v>
      </c>
      <c r="L33" s="73">
        <f t="shared" si="6"/>
        <v>24551</v>
      </c>
      <c r="M33" s="73">
        <v>8045</v>
      </c>
      <c r="N33" s="73">
        <v>0</v>
      </c>
      <c r="O33" s="73">
        <v>2630</v>
      </c>
      <c r="P33" s="73">
        <v>13876</v>
      </c>
      <c r="Q33" s="253" t="s">
        <v>343</v>
      </c>
      <c r="R33" s="73">
        <f t="shared" si="7"/>
        <v>8669</v>
      </c>
      <c r="S33" s="73">
        <v>312</v>
      </c>
      <c r="T33" s="73">
        <v>310</v>
      </c>
      <c r="U33" s="73">
        <v>8047</v>
      </c>
      <c r="V33" s="73">
        <f t="shared" si="13"/>
        <v>14856</v>
      </c>
      <c r="W33" s="73">
        <v>150</v>
      </c>
      <c r="X33" s="73">
        <v>7364</v>
      </c>
      <c r="Y33" s="73">
        <v>7342</v>
      </c>
      <c r="Z33" s="73">
        <f t="shared" si="9"/>
        <v>0</v>
      </c>
      <c r="AA33" s="73">
        <v>0</v>
      </c>
      <c r="AB33" s="73">
        <v>0</v>
      </c>
      <c r="AC33" s="73">
        <v>0</v>
      </c>
      <c r="AD33" s="73">
        <v>2238</v>
      </c>
      <c r="AE33" s="73">
        <v>51264</v>
      </c>
      <c r="AF33" s="166">
        <v>0</v>
      </c>
      <c r="AG33" s="186">
        <v>216900</v>
      </c>
    </row>
    <row r="34" spans="1:33" s="133" customFormat="1" ht="22.5" customHeight="1">
      <c r="A34" s="284" t="s">
        <v>345</v>
      </c>
      <c r="B34" s="73">
        <f t="shared" si="12"/>
        <v>263824</v>
      </c>
      <c r="C34" s="73">
        <f>SUM(D34:G34)</f>
        <v>49397</v>
      </c>
      <c r="D34" s="73">
        <v>15700</v>
      </c>
      <c r="E34" s="73">
        <v>14616</v>
      </c>
      <c r="F34" s="73">
        <v>18003</v>
      </c>
      <c r="G34" s="73">
        <v>1078</v>
      </c>
      <c r="H34" s="73">
        <f>SUM(I34:K34)</f>
        <v>6237</v>
      </c>
      <c r="I34" s="73">
        <v>3313</v>
      </c>
      <c r="J34" s="73">
        <v>0</v>
      </c>
      <c r="K34" s="73">
        <v>2924</v>
      </c>
      <c r="L34" s="73">
        <f>SUM(M34:P34)</f>
        <v>146338</v>
      </c>
      <c r="M34" s="73">
        <v>65160</v>
      </c>
      <c r="N34" s="73">
        <v>0</v>
      </c>
      <c r="O34" s="73">
        <v>1886</v>
      </c>
      <c r="P34" s="73">
        <v>79292</v>
      </c>
      <c r="Q34" s="253" t="s">
        <v>346</v>
      </c>
      <c r="R34" s="73">
        <f>SUM(S34:U34)</f>
        <v>10184</v>
      </c>
      <c r="S34" s="73">
        <v>338</v>
      </c>
      <c r="T34" s="73">
        <v>471</v>
      </c>
      <c r="U34" s="73">
        <v>9375</v>
      </c>
      <c r="V34" s="73">
        <f t="shared" si="13"/>
        <v>16217</v>
      </c>
      <c r="W34" s="73">
        <v>166</v>
      </c>
      <c r="X34" s="73">
        <v>8230</v>
      </c>
      <c r="Y34" s="73">
        <v>7821</v>
      </c>
      <c r="Z34" s="73">
        <f>AA34+AB34</f>
        <v>0</v>
      </c>
      <c r="AA34" s="73">
        <v>0</v>
      </c>
      <c r="AB34" s="73">
        <v>0</v>
      </c>
      <c r="AC34" s="73">
        <v>0</v>
      </c>
      <c r="AD34" s="73">
        <v>2029</v>
      </c>
      <c r="AE34" s="73">
        <v>32101</v>
      </c>
      <c r="AF34" s="166">
        <v>1321</v>
      </c>
      <c r="AG34" s="186">
        <v>179609</v>
      </c>
    </row>
    <row r="35" spans="1:33" s="133" customFormat="1" ht="22.5" customHeight="1">
      <c r="A35" s="284" t="s">
        <v>355</v>
      </c>
      <c r="B35" s="73">
        <f t="shared" si="12"/>
        <v>335118</v>
      </c>
      <c r="C35" s="73">
        <f>SUM(D35:G35)</f>
        <v>46601</v>
      </c>
      <c r="D35" s="73">
        <v>14692</v>
      </c>
      <c r="E35" s="73">
        <v>14785</v>
      </c>
      <c r="F35" s="73">
        <v>16251</v>
      </c>
      <c r="G35" s="73">
        <v>873</v>
      </c>
      <c r="H35" s="73">
        <f>SUM(I35:K35)</f>
        <v>6960</v>
      </c>
      <c r="I35" s="73">
        <v>4131</v>
      </c>
      <c r="J35" s="73">
        <v>0</v>
      </c>
      <c r="K35" s="73">
        <v>2829</v>
      </c>
      <c r="L35" s="73">
        <f>SUM(M35:P35)</f>
        <v>55007</v>
      </c>
      <c r="M35" s="73">
        <v>11086</v>
      </c>
      <c r="N35" s="73">
        <v>0</v>
      </c>
      <c r="O35" s="73">
        <v>1969</v>
      </c>
      <c r="P35" s="73">
        <v>41952</v>
      </c>
      <c r="Q35" s="253" t="s">
        <v>362</v>
      </c>
      <c r="R35" s="73">
        <f>SUM(S35:U35)</f>
        <v>8377</v>
      </c>
      <c r="S35" s="73">
        <v>330</v>
      </c>
      <c r="T35" s="73">
        <v>466</v>
      </c>
      <c r="U35" s="73">
        <v>7581</v>
      </c>
      <c r="V35" s="73">
        <f t="shared" si="13"/>
        <v>14635</v>
      </c>
      <c r="W35" s="73">
        <v>117</v>
      </c>
      <c r="X35" s="73">
        <v>6543</v>
      </c>
      <c r="Y35" s="73">
        <v>7975</v>
      </c>
      <c r="Z35" s="73">
        <f>AA35+AB35</f>
        <v>0</v>
      </c>
      <c r="AA35" s="73">
        <v>0</v>
      </c>
      <c r="AB35" s="73">
        <v>0</v>
      </c>
      <c r="AC35" s="73">
        <v>0</v>
      </c>
      <c r="AD35" s="73">
        <v>1754</v>
      </c>
      <c r="AE35" s="73">
        <f>79839+121945</f>
        <v>201784</v>
      </c>
      <c r="AF35" s="166"/>
      <c r="AG35" s="186">
        <v>192536</v>
      </c>
    </row>
    <row r="36" spans="1:33" s="133" customFormat="1" ht="22.5" customHeight="1">
      <c r="A36" s="286" t="s">
        <v>366</v>
      </c>
      <c r="B36" s="75">
        <f t="shared" si="12"/>
        <v>419614</v>
      </c>
      <c r="C36" s="75">
        <f>SUM(D36:G36)</f>
        <v>64980</v>
      </c>
      <c r="D36" s="75">
        <v>15955</v>
      </c>
      <c r="E36" s="75">
        <v>23596</v>
      </c>
      <c r="F36" s="75">
        <v>23359</v>
      </c>
      <c r="G36" s="75">
        <v>2070</v>
      </c>
      <c r="H36" s="75">
        <f>SUM(I36:K36)</f>
        <v>7790</v>
      </c>
      <c r="I36" s="75">
        <v>4569</v>
      </c>
      <c r="J36" s="75">
        <v>0</v>
      </c>
      <c r="K36" s="75">
        <v>3221</v>
      </c>
      <c r="L36" s="75">
        <f>SUM(M36:P36)</f>
        <v>181027</v>
      </c>
      <c r="M36" s="75">
        <v>92043</v>
      </c>
      <c r="N36" s="75">
        <v>0</v>
      </c>
      <c r="O36" s="75">
        <v>4347</v>
      </c>
      <c r="P36" s="75">
        <v>84637</v>
      </c>
      <c r="Q36" s="252" t="s">
        <v>366</v>
      </c>
      <c r="R36" s="75">
        <f>SUM(S36:U36)</f>
        <v>20792</v>
      </c>
      <c r="S36" s="75">
        <v>380</v>
      </c>
      <c r="T36" s="75">
        <v>3645</v>
      </c>
      <c r="U36" s="75">
        <v>16767</v>
      </c>
      <c r="V36" s="75">
        <f t="shared" si="13"/>
        <v>15587</v>
      </c>
      <c r="W36" s="75">
        <v>150</v>
      </c>
      <c r="X36" s="75">
        <v>7556</v>
      </c>
      <c r="Y36" s="75">
        <v>7881</v>
      </c>
      <c r="Z36" s="75">
        <f>AA36+AB36</f>
        <v>0</v>
      </c>
      <c r="AA36" s="75">
        <v>0</v>
      </c>
      <c r="AB36" s="75">
        <v>0</v>
      </c>
      <c r="AC36" s="75">
        <v>0</v>
      </c>
      <c r="AD36" s="75">
        <v>943</v>
      </c>
      <c r="AE36" s="75">
        <v>621</v>
      </c>
      <c r="AF36" s="167">
        <v>127874</v>
      </c>
      <c r="AG36" s="293">
        <v>177996</v>
      </c>
    </row>
    <row r="37" spans="1:33" s="28" customFormat="1" ht="18" customHeight="1">
      <c r="A37" s="356" t="s">
        <v>326</v>
      </c>
      <c r="B37" s="357"/>
      <c r="C37" s="82"/>
      <c r="D37" s="83"/>
      <c r="E37" s="84"/>
      <c r="F37" s="84"/>
      <c r="G37" s="84"/>
      <c r="H37" s="85"/>
      <c r="I37" s="84"/>
      <c r="J37" s="84"/>
      <c r="K37" s="84"/>
      <c r="L37" s="85"/>
      <c r="M37" s="84"/>
      <c r="N37" s="84"/>
      <c r="O37" s="84"/>
      <c r="P37" s="84"/>
      <c r="Q37" s="125" t="s">
        <v>149</v>
      </c>
      <c r="R37" s="126"/>
      <c r="S37" s="126"/>
      <c r="T37" s="126"/>
      <c r="U37" s="84"/>
      <c r="V37" s="85"/>
      <c r="W37" s="84"/>
      <c r="X37" s="84"/>
      <c r="Y37" s="86"/>
      <c r="Z37" s="85"/>
      <c r="AA37" s="84"/>
      <c r="AB37" s="84"/>
      <c r="AC37" s="87"/>
      <c r="AD37" s="84"/>
      <c r="AE37" s="84"/>
      <c r="AF37" s="168"/>
      <c r="AG37" s="169"/>
    </row>
    <row r="38" spans="1:33" s="28" customFormat="1" ht="18" customHeight="1">
      <c r="A38" s="354" t="s">
        <v>5</v>
      </c>
      <c r="B38" s="355"/>
      <c r="C38" s="355"/>
      <c r="D38" s="355"/>
      <c r="E38" s="84"/>
      <c r="F38" s="84"/>
      <c r="G38" s="84"/>
      <c r="H38" s="85"/>
      <c r="I38" s="84"/>
      <c r="J38" s="84"/>
      <c r="K38" s="84"/>
      <c r="L38" s="85"/>
      <c r="M38" s="84"/>
      <c r="N38" s="84"/>
      <c r="O38" s="84"/>
      <c r="P38" s="84"/>
      <c r="U38" s="126"/>
      <c r="V38" s="85"/>
      <c r="W38" s="84"/>
      <c r="X38" s="84"/>
      <c r="Y38" s="86"/>
      <c r="Z38" s="85"/>
      <c r="AA38" s="84"/>
      <c r="AB38" s="84"/>
      <c r="AC38" s="87"/>
      <c r="AD38" s="84"/>
      <c r="AE38" s="84"/>
      <c r="AF38" s="168"/>
      <c r="AG38" s="169"/>
    </row>
    <row r="39" spans="1:33" s="1" customFormat="1" ht="19.5" customHeight="1">
      <c r="A39" s="3"/>
      <c r="B39" s="88"/>
      <c r="C39" s="89"/>
      <c r="D39" s="18"/>
      <c r="E39" s="18"/>
      <c r="F39" s="18"/>
      <c r="G39" s="18"/>
      <c r="H39" s="89"/>
      <c r="I39" s="18"/>
      <c r="J39" s="18"/>
      <c r="K39" s="18"/>
      <c r="L39" s="89"/>
      <c r="M39" s="18"/>
      <c r="N39" s="18"/>
      <c r="O39" s="18"/>
      <c r="P39" s="18"/>
      <c r="Q39" s="18"/>
      <c r="R39" s="29"/>
      <c r="S39" s="18"/>
      <c r="T39" s="18"/>
      <c r="U39" s="18"/>
      <c r="V39" s="89"/>
      <c r="W39" s="18"/>
      <c r="X39" s="18"/>
      <c r="Y39" s="2"/>
      <c r="Z39" s="89"/>
      <c r="AA39" s="18"/>
      <c r="AB39" s="18"/>
      <c r="AC39" s="29"/>
      <c r="AD39" s="18"/>
      <c r="AE39" s="18"/>
      <c r="AF39" s="170"/>
      <c r="AG39" s="171"/>
    </row>
    <row r="40" spans="1:33" s="1" customFormat="1" ht="19.5" customHeight="1">
      <c r="A40" s="3"/>
      <c r="B40" s="88"/>
      <c r="C40" s="89"/>
      <c r="D40" s="18"/>
      <c r="E40" s="18"/>
      <c r="F40" s="18"/>
      <c r="G40" s="18"/>
      <c r="H40" s="89"/>
      <c r="I40" s="18"/>
      <c r="J40" s="18"/>
      <c r="K40" s="18"/>
      <c r="L40" s="89"/>
      <c r="M40" s="18"/>
      <c r="N40" s="18"/>
      <c r="O40" s="18"/>
      <c r="P40" s="18"/>
      <c r="Q40" s="18"/>
      <c r="R40" s="29"/>
      <c r="S40" s="18"/>
      <c r="T40" s="18"/>
      <c r="U40" s="18"/>
      <c r="V40" s="89"/>
      <c r="W40" s="18"/>
      <c r="X40" s="18"/>
      <c r="Y40" s="2"/>
      <c r="Z40" s="89"/>
      <c r="AA40" s="18"/>
      <c r="AB40" s="18"/>
      <c r="AC40" s="29"/>
      <c r="AD40" s="18"/>
      <c r="AE40" s="18"/>
      <c r="AF40" s="170"/>
      <c r="AG40" s="171"/>
    </row>
    <row r="41" spans="1:33" s="1" customFormat="1" ht="19.5" customHeight="1">
      <c r="A41" s="3"/>
      <c r="B41" s="88"/>
      <c r="C41" s="89"/>
      <c r="D41" s="18"/>
      <c r="E41" s="18"/>
      <c r="F41" s="18"/>
      <c r="G41" s="18"/>
      <c r="H41" s="89"/>
      <c r="I41" s="18"/>
      <c r="J41" s="18"/>
      <c r="K41" s="18"/>
      <c r="L41" s="89"/>
      <c r="M41" s="18"/>
      <c r="N41" s="18"/>
      <c r="O41" s="18"/>
      <c r="P41" s="18"/>
      <c r="Q41" s="18"/>
      <c r="R41" s="29"/>
      <c r="S41" s="18"/>
      <c r="T41" s="18"/>
      <c r="U41" s="18"/>
      <c r="V41" s="89"/>
      <c r="W41" s="18"/>
      <c r="X41" s="18"/>
      <c r="Y41" s="2"/>
      <c r="Z41" s="89"/>
      <c r="AA41" s="18"/>
      <c r="AB41" s="18"/>
      <c r="AC41" s="29"/>
      <c r="AD41" s="18"/>
      <c r="AE41" s="18"/>
      <c r="AF41" s="170"/>
      <c r="AG41" s="171"/>
    </row>
    <row r="42" spans="1:33" s="1" customFormat="1" ht="19.5" customHeight="1">
      <c r="A42" s="3"/>
      <c r="B42" s="88"/>
      <c r="C42" s="89"/>
      <c r="D42" s="18"/>
      <c r="E42" s="18"/>
      <c r="F42" s="18"/>
      <c r="G42" s="18"/>
      <c r="H42" s="89"/>
      <c r="I42" s="18"/>
      <c r="J42" s="18"/>
      <c r="K42" s="18"/>
      <c r="L42" s="89"/>
      <c r="M42" s="18"/>
      <c r="N42" s="18"/>
      <c r="O42" s="18"/>
      <c r="P42" s="18"/>
      <c r="Q42" s="18"/>
      <c r="R42" s="29"/>
      <c r="S42" s="18"/>
      <c r="T42" s="18"/>
      <c r="U42" s="18"/>
      <c r="V42" s="89"/>
      <c r="W42" s="18"/>
      <c r="X42" s="18"/>
      <c r="Y42" s="2"/>
      <c r="Z42" s="89"/>
      <c r="AA42" s="18"/>
      <c r="AB42" s="18"/>
      <c r="AC42" s="29"/>
      <c r="AD42" s="18"/>
      <c r="AE42" s="18"/>
      <c r="AF42" s="170"/>
      <c r="AG42" s="171"/>
    </row>
    <row r="43" spans="1:33" s="1" customFormat="1" ht="19.5" customHeight="1">
      <c r="A43" s="90"/>
      <c r="B43" s="88"/>
      <c r="C43" s="89"/>
      <c r="D43" s="18"/>
      <c r="E43" s="18"/>
      <c r="F43" s="18"/>
      <c r="G43" s="18"/>
      <c r="H43" s="89"/>
      <c r="I43" s="18"/>
      <c r="J43" s="18"/>
      <c r="K43" s="18"/>
      <c r="L43" s="89"/>
      <c r="M43" s="18"/>
      <c r="N43" s="18"/>
      <c r="O43" s="18"/>
      <c r="P43" s="18"/>
      <c r="Q43" s="18"/>
      <c r="R43" s="29"/>
      <c r="S43" s="18"/>
      <c r="T43" s="18"/>
      <c r="U43" s="18"/>
      <c r="V43" s="89"/>
      <c r="W43" s="18"/>
      <c r="X43" s="18"/>
      <c r="Y43" s="18"/>
      <c r="Z43" s="89"/>
      <c r="AA43" s="18"/>
      <c r="AB43" s="18"/>
      <c r="AC43" s="18"/>
      <c r="AD43" s="18"/>
      <c r="AE43" s="18"/>
      <c r="AF43" s="171"/>
      <c r="AG43" s="171"/>
    </row>
    <row r="44" spans="1:33" s="1" customFormat="1" ht="19.5" customHeight="1">
      <c r="A44" s="90"/>
      <c r="B44" s="88"/>
      <c r="C44" s="89"/>
      <c r="D44" s="18"/>
      <c r="E44" s="18"/>
      <c r="F44" s="18"/>
      <c r="G44" s="18"/>
      <c r="H44" s="89"/>
      <c r="I44" s="18"/>
      <c r="J44" s="18"/>
      <c r="K44" s="18"/>
      <c r="L44" s="89"/>
      <c r="M44" s="18"/>
      <c r="N44" s="18"/>
      <c r="O44" s="18"/>
      <c r="P44" s="18"/>
      <c r="Q44" s="18"/>
      <c r="R44" s="29"/>
      <c r="S44" s="18"/>
      <c r="T44" s="18"/>
      <c r="U44" s="18"/>
      <c r="V44" s="89"/>
      <c r="W44" s="18"/>
      <c r="X44" s="18"/>
      <c r="Y44" s="18"/>
      <c r="Z44" s="89"/>
      <c r="AA44" s="18"/>
      <c r="AB44" s="18"/>
      <c r="AC44" s="18"/>
      <c r="AD44" s="18"/>
      <c r="AE44" s="18"/>
      <c r="AF44" s="171"/>
      <c r="AG44" s="171"/>
    </row>
    <row r="45" spans="1:33" s="1" customFormat="1" ht="19.5" customHeight="1">
      <c r="A45" s="90"/>
      <c r="B45" s="88"/>
      <c r="C45" s="89"/>
      <c r="D45" s="18"/>
      <c r="E45" s="18"/>
      <c r="F45" s="18"/>
      <c r="G45" s="18"/>
      <c r="H45" s="89"/>
      <c r="I45" s="18"/>
      <c r="J45" s="18"/>
      <c r="K45" s="18"/>
      <c r="L45" s="89"/>
      <c r="M45" s="18"/>
      <c r="N45" s="18"/>
      <c r="O45" s="18"/>
      <c r="P45" s="18"/>
      <c r="Q45" s="18"/>
      <c r="R45" s="29"/>
      <c r="S45" s="18"/>
      <c r="T45" s="18"/>
      <c r="U45" s="18"/>
      <c r="V45" s="89"/>
      <c r="W45" s="18"/>
      <c r="X45" s="18"/>
      <c r="Y45" s="18"/>
      <c r="Z45" s="89"/>
      <c r="AA45" s="18"/>
      <c r="AB45" s="18"/>
      <c r="AC45" s="18"/>
      <c r="AD45" s="18"/>
      <c r="AE45" s="18"/>
      <c r="AF45" s="171"/>
      <c r="AG45" s="171"/>
    </row>
    <row r="46" spans="1:33" s="1" customFormat="1" ht="19.5" customHeight="1">
      <c r="A46" s="90"/>
      <c r="B46" s="88"/>
      <c r="C46" s="89"/>
      <c r="D46" s="18"/>
      <c r="E46" s="18"/>
      <c r="F46" s="18"/>
      <c r="G46" s="18"/>
      <c r="H46" s="89"/>
      <c r="I46" s="18"/>
      <c r="J46" s="18"/>
      <c r="K46" s="18"/>
      <c r="L46" s="89"/>
      <c r="M46" s="18"/>
      <c r="N46" s="18"/>
      <c r="O46" s="18"/>
      <c r="P46" s="18"/>
      <c r="Q46" s="18"/>
      <c r="R46" s="29"/>
      <c r="S46" s="18"/>
      <c r="T46" s="18"/>
      <c r="U46" s="18"/>
      <c r="V46" s="89"/>
      <c r="W46" s="18"/>
      <c r="X46" s="18"/>
      <c r="Y46" s="18"/>
      <c r="Z46" s="89"/>
      <c r="AA46" s="18"/>
      <c r="AB46" s="18"/>
      <c r="AC46" s="18"/>
      <c r="AD46" s="18"/>
      <c r="AE46" s="18"/>
      <c r="AF46" s="171"/>
      <c r="AG46" s="171"/>
    </row>
    <row r="47" spans="1:33" s="1" customFormat="1" ht="19.5" customHeight="1">
      <c r="A47" s="90"/>
      <c r="B47" s="88"/>
      <c r="C47" s="89"/>
      <c r="D47" s="18"/>
      <c r="E47" s="18"/>
      <c r="F47" s="18"/>
      <c r="G47" s="18"/>
      <c r="H47" s="89"/>
      <c r="I47" s="18"/>
      <c r="J47" s="18"/>
      <c r="K47" s="18"/>
      <c r="L47" s="89"/>
      <c r="M47" s="18"/>
      <c r="N47" s="18"/>
      <c r="O47" s="18"/>
      <c r="P47" s="18"/>
      <c r="Q47" s="18"/>
      <c r="R47" s="29"/>
      <c r="S47" s="18"/>
      <c r="T47" s="18"/>
      <c r="U47" s="18"/>
      <c r="V47" s="89"/>
      <c r="W47" s="18"/>
      <c r="X47" s="18"/>
      <c r="Y47" s="18"/>
      <c r="Z47" s="89"/>
      <c r="AA47" s="18"/>
      <c r="AB47" s="18"/>
      <c r="AC47" s="18"/>
      <c r="AD47" s="18"/>
      <c r="AE47" s="18"/>
      <c r="AF47" s="171"/>
      <c r="AG47" s="171"/>
    </row>
    <row r="48" spans="1:33" s="1" customFormat="1" ht="19.5" customHeight="1">
      <c r="A48" s="90"/>
      <c r="B48" s="88"/>
      <c r="C48" s="89"/>
      <c r="D48" s="18"/>
      <c r="E48" s="18"/>
      <c r="F48" s="18"/>
      <c r="G48" s="18"/>
      <c r="H48" s="89"/>
      <c r="I48" s="18"/>
      <c r="J48" s="18"/>
      <c r="K48" s="18"/>
      <c r="L48" s="89"/>
      <c r="M48" s="18"/>
      <c r="N48" s="18"/>
      <c r="O48" s="18"/>
      <c r="P48" s="18"/>
      <c r="Q48" s="18"/>
      <c r="R48" s="29"/>
      <c r="S48" s="18"/>
      <c r="T48" s="18"/>
      <c r="U48" s="18"/>
      <c r="V48" s="89"/>
      <c r="W48" s="18"/>
      <c r="X48" s="18"/>
      <c r="Y48" s="18"/>
      <c r="Z48" s="89"/>
      <c r="AA48" s="18"/>
      <c r="AB48" s="18"/>
      <c r="AC48" s="18"/>
      <c r="AD48" s="18"/>
      <c r="AE48" s="18"/>
      <c r="AF48" s="171"/>
      <c r="AG48" s="171"/>
    </row>
    <row r="49" spans="1:33" s="1" customFormat="1" ht="19.5" customHeight="1">
      <c r="A49" s="90"/>
      <c r="B49" s="88"/>
      <c r="C49" s="89"/>
      <c r="D49" s="18"/>
      <c r="E49" s="18"/>
      <c r="F49" s="18"/>
      <c r="G49" s="18"/>
      <c r="H49" s="89"/>
      <c r="I49" s="18"/>
      <c r="J49" s="18"/>
      <c r="K49" s="18"/>
      <c r="L49" s="89"/>
      <c r="M49" s="18"/>
      <c r="N49" s="18"/>
      <c r="O49" s="18"/>
      <c r="P49" s="18"/>
      <c r="Q49" s="18"/>
      <c r="R49" s="29"/>
      <c r="S49" s="18"/>
      <c r="T49" s="18"/>
      <c r="U49" s="18"/>
      <c r="V49" s="89"/>
      <c r="W49" s="18"/>
      <c r="X49" s="18"/>
      <c r="Y49" s="18"/>
      <c r="Z49" s="89"/>
      <c r="AA49" s="18"/>
      <c r="AB49" s="18"/>
      <c r="AC49" s="18"/>
      <c r="AD49" s="18"/>
      <c r="AE49" s="18"/>
      <c r="AF49" s="171"/>
      <c r="AG49" s="171"/>
    </row>
    <row r="50" spans="1:33" s="1" customFormat="1" ht="19.5" customHeight="1">
      <c r="A50" s="90"/>
      <c r="B50" s="88"/>
      <c r="C50" s="89"/>
      <c r="D50" s="18"/>
      <c r="E50" s="18"/>
      <c r="F50" s="18"/>
      <c r="G50" s="18"/>
      <c r="H50" s="89"/>
      <c r="I50" s="18"/>
      <c r="J50" s="18"/>
      <c r="K50" s="18"/>
      <c r="L50" s="89"/>
      <c r="M50" s="18"/>
      <c r="N50" s="18"/>
      <c r="O50" s="18"/>
      <c r="P50" s="18"/>
      <c r="Q50" s="18"/>
      <c r="R50" s="29"/>
      <c r="S50" s="18"/>
      <c r="T50" s="18"/>
      <c r="U50" s="18"/>
      <c r="V50" s="89"/>
      <c r="W50" s="18"/>
      <c r="X50" s="18"/>
      <c r="Y50" s="18"/>
      <c r="Z50" s="89"/>
      <c r="AA50" s="18"/>
      <c r="AB50" s="18"/>
      <c r="AC50" s="18"/>
      <c r="AD50" s="18"/>
      <c r="AE50" s="18"/>
      <c r="AF50" s="171"/>
      <c r="AG50" s="171"/>
    </row>
    <row r="51" spans="1:33" s="1" customFormat="1" ht="19.5" customHeight="1">
      <c r="A51" s="90"/>
      <c r="B51" s="88"/>
      <c r="C51" s="89"/>
      <c r="D51" s="18"/>
      <c r="E51" s="18"/>
      <c r="F51" s="18"/>
      <c r="G51" s="18"/>
      <c r="H51" s="89"/>
      <c r="I51" s="18"/>
      <c r="J51" s="18"/>
      <c r="K51" s="18"/>
      <c r="L51" s="89"/>
      <c r="M51" s="18"/>
      <c r="N51" s="18"/>
      <c r="O51" s="18"/>
      <c r="P51" s="18"/>
      <c r="Q51" s="18"/>
      <c r="R51" s="29"/>
      <c r="S51" s="18"/>
      <c r="T51" s="18"/>
      <c r="U51" s="18"/>
      <c r="V51" s="89"/>
      <c r="W51" s="18"/>
      <c r="X51" s="18"/>
      <c r="Y51" s="18"/>
      <c r="Z51" s="89"/>
      <c r="AA51" s="18"/>
      <c r="AB51" s="18"/>
      <c r="AC51" s="18"/>
      <c r="AD51" s="18"/>
      <c r="AE51" s="18"/>
      <c r="AF51" s="171"/>
      <c r="AG51" s="171"/>
    </row>
    <row r="52" spans="1:33" s="1" customFormat="1" ht="19.5" customHeight="1">
      <c r="A52" s="90"/>
      <c r="B52" s="88"/>
      <c r="C52" s="89"/>
      <c r="D52" s="18"/>
      <c r="E52" s="18"/>
      <c r="F52" s="18"/>
      <c r="G52" s="18"/>
      <c r="H52" s="89"/>
      <c r="I52" s="18"/>
      <c r="J52" s="18"/>
      <c r="K52" s="18"/>
      <c r="L52" s="89"/>
      <c r="M52" s="18"/>
      <c r="N52" s="18"/>
      <c r="O52" s="18"/>
      <c r="P52" s="18"/>
      <c r="Q52" s="18"/>
      <c r="R52" s="29"/>
      <c r="S52" s="18"/>
      <c r="T52" s="18"/>
      <c r="U52" s="18"/>
      <c r="V52" s="89"/>
      <c r="W52" s="18"/>
      <c r="X52" s="18"/>
      <c r="Y52" s="18"/>
      <c r="Z52" s="89"/>
      <c r="AA52" s="18"/>
      <c r="AB52" s="18"/>
      <c r="AC52" s="18"/>
      <c r="AD52" s="18"/>
      <c r="AE52" s="18"/>
      <c r="AF52" s="171"/>
      <c r="AG52" s="171"/>
    </row>
    <row r="53" spans="1:33" s="1" customFormat="1" ht="19.5" customHeight="1">
      <c r="A53" s="90"/>
      <c r="B53" s="88"/>
      <c r="C53" s="89"/>
      <c r="D53" s="18"/>
      <c r="E53" s="18"/>
      <c r="F53" s="18"/>
      <c r="G53" s="18"/>
      <c r="H53" s="89"/>
      <c r="I53" s="18"/>
      <c r="J53" s="18"/>
      <c r="K53" s="18"/>
      <c r="L53" s="89"/>
      <c r="M53" s="18"/>
      <c r="N53" s="18"/>
      <c r="O53" s="18"/>
      <c r="P53" s="18"/>
      <c r="Q53" s="18"/>
      <c r="R53" s="29"/>
      <c r="S53" s="18"/>
      <c r="T53" s="18"/>
      <c r="U53" s="18"/>
      <c r="V53" s="89"/>
      <c r="W53" s="18"/>
      <c r="X53" s="18"/>
      <c r="Y53" s="18"/>
      <c r="Z53" s="89"/>
      <c r="AA53" s="18"/>
      <c r="AB53" s="18"/>
      <c r="AC53" s="18"/>
      <c r="AD53" s="18"/>
      <c r="AE53" s="18"/>
      <c r="AF53" s="171"/>
      <c r="AG53" s="171"/>
    </row>
    <row r="54" spans="1:33" s="1" customFormat="1" ht="19.5" customHeight="1">
      <c r="A54" s="90"/>
      <c r="B54" s="88"/>
      <c r="C54" s="89"/>
      <c r="D54" s="18"/>
      <c r="E54" s="18"/>
      <c r="F54" s="18"/>
      <c r="G54" s="18"/>
      <c r="H54" s="89"/>
      <c r="I54" s="18"/>
      <c r="J54" s="18"/>
      <c r="K54" s="18"/>
      <c r="L54" s="89"/>
      <c r="M54" s="18"/>
      <c r="N54" s="18"/>
      <c r="O54" s="18"/>
      <c r="P54" s="18"/>
      <c r="Q54" s="18"/>
      <c r="R54" s="29"/>
      <c r="S54" s="18"/>
      <c r="T54" s="18"/>
      <c r="U54" s="18"/>
      <c r="V54" s="89"/>
      <c r="W54" s="18"/>
      <c r="X54" s="18"/>
      <c r="Y54" s="18"/>
      <c r="Z54" s="89"/>
      <c r="AA54" s="18"/>
      <c r="AB54" s="18"/>
      <c r="AC54" s="18"/>
      <c r="AD54" s="18"/>
      <c r="AE54" s="18"/>
      <c r="AF54" s="171"/>
      <c r="AG54" s="171"/>
    </row>
    <row r="55" spans="1:33" s="1" customFormat="1" ht="19.5" customHeight="1">
      <c r="A55" s="90"/>
      <c r="B55" s="88"/>
      <c r="C55" s="89"/>
      <c r="D55" s="18"/>
      <c r="E55" s="18"/>
      <c r="F55" s="18"/>
      <c r="G55" s="18"/>
      <c r="H55" s="89"/>
      <c r="I55" s="18"/>
      <c r="J55" s="18"/>
      <c r="K55" s="18"/>
      <c r="L55" s="89"/>
      <c r="M55" s="18"/>
      <c r="N55" s="18"/>
      <c r="O55" s="18"/>
      <c r="P55" s="18"/>
      <c r="Q55" s="18"/>
      <c r="R55" s="29"/>
      <c r="S55" s="18"/>
      <c r="T55" s="18"/>
      <c r="U55" s="18"/>
      <c r="V55" s="89"/>
      <c r="W55" s="18"/>
      <c r="X55" s="18"/>
      <c r="Y55" s="18"/>
      <c r="Z55" s="89"/>
      <c r="AA55" s="18"/>
      <c r="AB55" s="18"/>
      <c r="AC55" s="18"/>
      <c r="AD55" s="18"/>
      <c r="AE55" s="18"/>
      <c r="AF55" s="171"/>
      <c r="AG55" s="171"/>
    </row>
    <row r="56" spans="1:33" s="1" customFormat="1" ht="19.5" customHeight="1">
      <c r="A56" s="90"/>
      <c r="B56" s="88"/>
      <c r="C56" s="89"/>
      <c r="D56" s="18"/>
      <c r="E56" s="18"/>
      <c r="F56" s="18"/>
      <c r="G56" s="18"/>
      <c r="H56" s="89"/>
      <c r="I56" s="18"/>
      <c r="J56" s="18"/>
      <c r="K56" s="18"/>
      <c r="L56" s="89"/>
      <c r="M56" s="18"/>
      <c r="N56" s="18"/>
      <c r="O56" s="18"/>
      <c r="P56" s="18"/>
      <c r="Q56" s="18"/>
      <c r="R56" s="29"/>
      <c r="S56" s="18"/>
      <c r="T56" s="18"/>
      <c r="U56" s="18"/>
      <c r="V56" s="89"/>
      <c r="W56" s="18"/>
      <c r="X56" s="18"/>
      <c r="Y56" s="18"/>
      <c r="Z56" s="89"/>
      <c r="AA56" s="18"/>
      <c r="AB56" s="18"/>
      <c r="AC56" s="18"/>
      <c r="AD56" s="18"/>
      <c r="AE56" s="18"/>
      <c r="AF56" s="171"/>
      <c r="AG56" s="171"/>
    </row>
    <row r="57" spans="1:33" s="1" customFormat="1" ht="19.5" customHeight="1">
      <c r="A57" s="90"/>
      <c r="B57" s="88"/>
      <c r="C57" s="89"/>
      <c r="D57" s="18"/>
      <c r="E57" s="18"/>
      <c r="F57" s="18"/>
      <c r="G57" s="18"/>
      <c r="H57" s="89"/>
      <c r="I57" s="18"/>
      <c r="J57" s="18"/>
      <c r="K57" s="18"/>
      <c r="L57" s="89"/>
      <c r="M57" s="18"/>
      <c r="N57" s="18"/>
      <c r="O57" s="18"/>
      <c r="P57" s="18"/>
      <c r="Q57" s="18"/>
      <c r="R57" s="29"/>
      <c r="S57" s="18"/>
      <c r="T57" s="18"/>
      <c r="U57" s="18"/>
      <c r="V57" s="89"/>
      <c r="W57" s="18"/>
      <c r="X57" s="18"/>
      <c r="Y57" s="18"/>
      <c r="Z57" s="89"/>
      <c r="AA57" s="18"/>
      <c r="AB57" s="18"/>
      <c r="AC57" s="18"/>
      <c r="AD57" s="18"/>
      <c r="AE57" s="18"/>
      <c r="AF57" s="171"/>
      <c r="AG57" s="171"/>
    </row>
    <row r="58" spans="1:33" s="1" customFormat="1" ht="19.5" customHeight="1">
      <c r="A58" s="90"/>
      <c r="B58" s="88"/>
      <c r="C58" s="89"/>
      <c r="D58" s="18"/>
      <c r="E58" s="18"/>
      <c r="F58" s="18"/>
      <c r="G58" s="18"/>
      <c r="H58" s="89"/>
      <c r="I58" s="18"/>
      <c r="J58" s="18"/>
      <c r="K58" s="18"/>
      <c r="L58" s="89"/>
      <c r="M58" s="18"/>
      <c r="N58" s="18"/>
      <c r="O58" s="18"/>
      <c r="P58" s="18"/>
      <c r="Q58" s="18"/>
      <c r="R58" s="29"/>
      <c r="S58" s="18"/>
      <c r="T58" s="18"/>
      <c r="U58" s="18"/>
      <c r="V58" s="89"/>
      <c r="W58" s="18"/>
      <c r="X58" s="18"/>
      <c r="Y58" s="18"/>
      <c r="Z58" s="89"/>
      <c r="AA58" s="18"/>
      <c r="AB58" s="18"/>
      <c r="AC58" s="18"/>
      <c r="AD58" s="18"/>
      <c r="AE58" s="18"/>
      <c r="AF58" s="171"/>
      <c r="AG58" s="171"/>
    </row>
    <row r="59" spans="1:33" s="1" customFormat="1" ht="19.5" customHeight="1">
      <c r="A59" s="90"/>
      <c r="B59" s="88"/>
      <c r="C59" s="89"/>
      <c r="D59" s="18"/>
      <c r="E59" s="18"/>
      <c r="F59" s="18"/>
      <c r="G59" s="18"/>
      <c r="H59" s="89"/>
      <c r="I59" s="18"/>
      <c r="J59" s="18"/>
      <c r="K59" s="18"/>
      <c r="L59" s="89"/>
      <c r="M59" s="18"/>
      <c r="N59" s="18"/>
      <c r="O59" s="18"/>
      <c r="P59" s="18"/>
      <c r="Q59" s="18"/>
      <c r="R59" s="29"/>
      <c r="S59" s="18"/>
      <c r="T59" s="18"/>
      <c r="U59" s="18"/>
      <c r="V59" s="89"/>
      <c r="W59" s="18"/>
      <c r="X59" s="18"/>
      <c r="Y59" s="18"/>
      <c r="Z59" s="89"/>
      <c r="AA59" s="18"/>
      <c r="AB59" s="18"/>
      <c r="AC59" s="18"/>
      <c r="AD59" s="18"/>
      <c r="AE59" s="18"/>
      <c r="AF59" s="171"/>
      <c r="AG59" s="171"/>
    </row>
    <row r="60" spans="1:33" s="1" customFormat="1" ht="19.5" customHeight="1">
      <c r="A60" s="90"/>
      <c r="B60" s="88"/>
      <c r="C60" s="89"/>
      <c r="D60" s="18"/>
      <c r="E60" s="18"/>
      <c r="F60" s="18"/>
      <c r="G60" s="18"/>
      <c r="H60" s="89"/>
      <c r="I60" s="18"/>
      <c r="J60" s="18"/>
      <c r="K60" s="18"/>
      <c r="L60" s="89"/>
      <c r="M60" s="18"/>
      <c r="N60" s="18"/>
      <c r="O60" s="18"/>
      <c r="P60" s="18"/>
      <c r="Q60" s="18"/>
      <c r="R60" s="29"/>
      <c r="S60" s="18"/>
      <c r="T60" s="18"/>
      <c r="U60" s="18"/>
      <c r="V60" s="89"/>
      <c r="W60" s="18"/>
      <c r="X60" s="18"/>
      <c r="Y60" s="18"/>
      <c r="Z60" s="89"/>
      <c r="AA60" s="18"/>
      <c r="AB60" s="18"/>
      <c r="AC60" s="18"/>
      <c r="AD60" s="18"/>
      <c r="AE60" s="18"/>
      <c r="AF60" s="171"/>
      <c r="AG60" s="171"/>
    </row>
    <row r="61" spans="1:33" s="1" customFormat="1" ht="19.5" customHeight="1">
      <c r="A61" s="90"/>
      <c r="B61" s="88"/>
      <c r="C61" s="89"/>
      <c r="D61" s="18"/>
      <c r="E61" s="18"/>
      <c r="F61" s="18"/>
      <c r="G61" s="18"/>
      <c r="H61" s="89"/>
      <c r="I61" s="18"/>
      <c r="J61" s="18"/>
      <c r="K61" s="18"/>
      <c r="L61" s="89"/>
      <c r="M61" s="18"/>
      <c r="N61" s="18"/>
      <c r="O61" s="18"/>
      <c r="P61" s="18"/>
      <c r="Q61" s="18"/>
      <c r="R61" s="29"/>
      <c r="S61" s="18"/>
      <c r="T61" s="18"/>
      <c r="U61" s="18"/>
      <c r="V61" s="89"/>
      <c r="W61" s="18"/>
      <c r="X61" s="18"/>
      <c r="Y61" s="18"/>
      <c r="Z61" s="89"/>
      <c r="AA61" s="18"/>
      <c r="AB61" s="18"/>
      <c r="AC61" s="18"/>
      <c r="AD61" s="18"/>
      <c r="AE61" s="18"/>
      <c r="AF61" s="171"/>
      <c r="AG61" s="171"/>
    </row>
    <row r="62" spans="1:33" s="1" customFormat="1" ht="19.5" customHeight="1">
      <c r="A62" s="90"/>
      <c r="B62" s="88"/>
      <c r="C62" s="89"/>
      <c r="D62" s="18"/>
      <c r="E62" s="18"/>
      <c r="F62" s="18"/>
      <c r="G62" s="18"/>
      <c r="H62" s="89"/>
      <c r="I62" s="18"/>
      <c r="J62" s="18"/>
      <c r="K62" s="18"/>
      <c r="L62" s="89"/>
      <c r="M62" s="18"/>
      <c r="N62" s="18"/>
      <c r="O62" s="18"/>
      <c r="P62" s="18"/>
      <c r="Q62" s="18"/>
      <c r="R62" s="29"/>
      <c r="S62" s="18"/>
      <c r="T62" s="18"/>
      <c r="U62" s="18"/>
      <c r="V62" s="89"/>
      <c r="W62" s="18"/>
      <c r="X62" s="18"/>
      <c r="Y62" s="18"/>
      <c r="Z62" s="89"/>
      <c r="AA62" s="18"/>
      <c r="AB62" s="18"/>
      <c r="AC62" s="18"/>
      <c r="AD62" s="18"/>
      <c r="AE62" s="18"/>
      <c r="AF62" s="171"/>
      <c r="AG62" s="171"/>
    </row>
    <row r="63" spans="1:33" s="1" customFormat="1" ht="19.5" customHeight="1">
      <c r="A63" s="90"/>
      <c r="B63" s="88"/>
      <c r="C63" s="89"/>
      <c r="D63" s="18"/>
      <c r="E63" s="18"/>
      <c r="F63" s="18"/>
      <c r="G63" s="18"/>
      <c r="H63" s="89"/>
      <c r="I63" s="18"/>
      <c r="J63" s="18"/>
      <c r="K63" s="18"/>
      <c r="L63" s="89"/>
      <c r="M63" s="18"/>
      <c r="N63" s="18"/>
      <c r="O63" s="18"/>
      <c r="P63" s="18"/>
      <c r="Q63" s="18"/>
      <c r="R63" s="29"/>
      <c r="S63" s="18"/>
      <c r="T63" s="18"/>
      <c r="U63" s="18"/>
      <c r="V63" s="89"/>
      <c r="W63" s="18"/>
      <c r="X63" s="18"/>
      <c r="Y63" s="18"/>
      <c r="Z63" s="89"/>
      <c r="AA63" s="18"/>
      <c r="AB63" s="18"/>
      <c r="AC63" s="18"/>
      <c r="AD63" s="18"/>
      <c r="AE63" s="18"/>
      <c r="AF63" s="171"/>
      <c r="AG63" s="171"/>
    </row>
    <row r="64" spans="1:33" s="1" customFormat="1" ht="19.5" customHeight="1">
      <c r="A64" s="90"/>
      <c r="B64" s="88"/>
      <c r="C64" s="89"/>
      <c r="D64" s="18"/>
      <c r="E64" s="18"/>
      <c r="F64" s="18"/>
      <c r="G64" s="18"/>
      <c r="H64" s="89"/>
      <c r="I64" s="18"/>
      <c r="J64" s="18"/>
      <c r="K64" s="18"/>
      <c r="L64" s="89"/>
      <c r="M64" s="18"/>
      <c r="N64" s="18"/>
      <c r="O64" s="18"/>
      <c r="P64" s="18"/>
      <c r="Q64" s="18"/>
      <c r="R64" s="29"/>
      <c r="S64" s="18"/>
      <c r="T64" s="18"/>
      <c r="U64" s="18"/>
      <c r="V64" s="89"/>
      <c r="W64" s="18"/>
      <c r="X64" s="18"/>
      <c r="Y64" s="18"/>
      <c r="Z64" s="89"/>
      <c r="AA64" s="18"/>
      <c r="AB64" s="18"/>
      <c r="AC64" s="18"/>
      <c r="AD64" s="18"/>
      <c r="AE64" s="18"/>
      <c r="AF64" s="171"/>
      <c r="AG64" s="171"/>
    </row>
    <row r="65" spans="1:33" s="1" customFormat="1" ht="19.5" customHeight="1">
      <c r="A65" s="90"/>
      <c r="B65" s="88"/>
      <c r="C65" s="89"/>
      <c r="D65" s="18"/>
      <c r="E65" s="18"/>
      <c r="F65" s="18"/>
      <c r="G65" s="18"/>
      <c r="H65" s="89"/>
      <c r="I65" s="18"/>
      <c r="J65" s="18"/>
      <c r="K65" s="18"/>
      <c r="L65" s="89"/>
      <c r="M65" s="18"/>
      <c r="N65" s="18"/>
      <c r="O65" s="18"/>
      <c r="P65" s="18"/>
      <c r="Q65" s="18"/>
      <c r="R65" s="29"/>
      <c r="S65" s="18"/>
      <c r="T65" s="18"/>
      <c r="U65" s="18"/>
      <c r="V65" s="89"/>
      <c r="W65" s="18"/>
      <c r="X65" s="18"/>
      <c r="Y65" s="18"/>
      <c r="Z65" s="89"/>
      <c r="AA65" s="18"/>
      <c r="AB65" s="18"/>
      <c r="AC65" s="18"/>
      <c r="AD65" s="18"/>
      <c r="AE65" s="18"/>
      <c r="AF65" s="171"/>
      <c r="AG65" s="171"/>
    </row>
    <row r="66" spans="1:33" s="1" customFormat="1" ht="19.5" customHeight="1">
      <c r="A66" s="90"/>
      <c r="B66" s="88"/>
      <c r="C66" s="89"/>
      <c r="D66" s="18"/>
      <c r="E66" s="18"/>
      <c r="F66" s="18"/>
      <c r="G66" s="18"/>
      <c r="H66" s="89"/>
      <c r="I66" s="18"/>
      <c r="J66" s="18"/>
      <c r="K66" s="18"/>
      <c r="L66" s="89"/>
      <c r="M66" s="18"/>
      <c r="N66" s="18"/>
      <c r="O66" s="18"/>
      <c r="P66" s="18"/>
      <c r="Q66" s="18"/>
      <c r="R66" s="29"/>
      <c r="S66" s="18"/>
      <c r="T66" s="18"/>
      <c r="U66" s="18"/>
      <c r="V66" s="89"/>
      <c r="W66" s="18"/>
      <c r="X66" s="18"/>
      <c r="Y66" s="18"/>
      <c r="Z66" s="89"/>
      <c r="AA66" s="18"/>
      <c r="AB66" s="18"/>
      <c r="AC66" s="18"/>
      <c r="AD66" s="18"/>
      <c r="AE66" s="18"/>
      <c r="AF66" s="171"/>
      <c r="AG66" s="171"/>
    </row>
    <row r="67" spans="1:33" s="1" customFormat="1" ht="19.5" customHeight="1">
      <c r="A67" s="90"/>
      <c r="B67" s="88"/>
      <c r="C67" s="89"/>
      <c r="D67" s="18"/>
      <c r="E67" s="18"/>
      <c r="F67" s="18"/>
      <c r="G67" s="18"/>
      <c r="H67" s="89"/>
      <c r="I67" s="18"/>
      <c r="J67" s="18"/>
      <c r="K67" s="18"/>
      <c r="L67" s="89"/>
      <c r="M67" s="18"/>
      <c r="N67" s="18"/>
      <c r="O67" s="18"/>
      <c r="P67" s="18"/>
      <c r="Q67" s="18"/>
      <c r="R67" s="29"/>
      <c r="S67" s="18"/>
      <c r="T67" s="18"/>
      <c r="U67" s="18"/>
      <c r="V67" s="89"/>
      <c r="W67" s="18"/>
      <c r="X67" s="18"/>
      <c r="Y67" s="18"/>
      <c r="Z67" s="89"/>
      <c r="AA67" s="18"/>
      <c r="AB67" s="18"/>
      <c r="AC67" s="18"/>
      <c r="AD67" s="18"/>
      <c r="AE67" s="18"/>
      <c r="AF67" s="171"/>
      <c r="AG67" s="171"/>
    </row>
    <row r="68" spans="1:33" s="1" customFormat="1" ht="19.5" customHeight="1">
      <c r="A68" s="90"/>
      <c r="B68" s="88"/>
      <c r="C68" s="89"/>
      <c r="D68" s="18"/>
      <c r="E68" s="18"/>
      <c r="F68" s="18"/>
      <c r="G68" s="18"/>
      <c r="H68" s="89"/>
      <c r="I68" s="18"/>
      <c r="J68" s="18"/>
      <c r="K68" s="18"/>
      <c r="L68" s="89"/>
      <c r="M68" s="18"/>
      <c r="N68" s="18"/>
      <c r="O68" s="18"/>
      <c r="P68" s="18"/>
      <c r="Q68" s="18"/>
      <c r="R68" s="29"/>
      <c r="S68" s="18"/>
      <c r="T68" s="18"/>
      <c r="U68" s="18"/>
      <c r="V68" s="89"/>
      <c r="W68" s="18"/>
      <c r="X68" s="18"/>
      <c r="Y68" s="18"/>
      <c r="Z68" s="89"/>
      <c r="AA68" s="18"/>
      <c r="AB68" s="18"/>
      <c r="AC68" s="18"/>
      <c r="AD68" s="18"/>
      <c r="AE68" s="18"/>
      <c r="AF68" s="171"/>
      <c r="AG68" s="171"/>
    </row>
    <row r="69" spans="1:33" s="1" customFormat="1" ht="19.5" customHeight="1">
      <c r="A69" s="90"/>
      <c r="B69" s="88"/>
      <c r="C69" s="89"/>
      <c r="D69" s="18"/>
      <c r="E69" s="18"/>
      <c r="F69" s="18"/>
      <c r="G69" s="18"/>
      <c r="H69" s="89"/>
      <c r="I69" s="18"/>
      <c r="J69" s="18"/>
      <c r="K69" s="18"/>
      <c r="L69" s="89"/>
      <c r="M69" s="18"/>
      <c r="N69" s="18"/>
      <c r="O69" s="18"/>
      <c r="P69" s="18"/>
      <c r="Q69" s="18"/>
      <c r="R69" s="29"/>
      <c r="S69" s="18"/>
      <c r="T69" s="18"/>
      <c r="U69" s="18"/>
      <c r="V69" s="89"/>
      <c r="W69" s="18"/>
      <c r="X69" s="18"/>
      <c r="Y69" s="18"/>
      <c r="Z69" s="89"/>
      <c r="AA69" s="18"/>
      <c r="AB69" s="18"/>
      <c r="AC69" s="18"/>
      <c r="AD69" s="18"/>
      <c r="AE69" s="18"/>
      <c r="AF69" s="171"/>
      <c r="AG69" s="171"/>
    </row>
    <row r="70" spans="1:33" s="1" customFormat="1" ht="19.5" customHeight="1">
      <c r="A70" s="90"/>
      <c r="B70" s="88"/>
      <c r="C70" s="89"/>
      <c r="D70" s="18"/>
      <c r="E70" s="18"/>
      <c r="F70" s="18"/>
      <c r="G70" s="18"/>
      <c r="H70" s="89"/>
      <c r="I70" s="18"/>
      <c r="J70" s="18"/>
      <c r="K70" s="18"/>
      <c r="L70" s="89"/>
      <c r="M70" s="18"/>
      <c r="N70" s="18"/>
      <c r="O70" s="18"/>
      <c r="P70" s="18"/>
      <c r="Q70" s="18"/>
      <c r="R70" s="29"/>
      <c r="S70" s="18"/>
      <c r="T70" s="18"/>
      <c r="U70" s="18"/>
      <c r="V70" s="89"/>
      <c r="W70" s="18"/>
      <c r="X70" s="18"/>
      <c r="Y70" s="18"/>
      <c r="Z70" s="89"/>
      <c r="AA70" s="18"/>
      <c r="AB70" s="18"/>
      <c r="AC70" s="18"/>
      <c r="AD70" s="18"/>
      <c r="AE70" s="18"/>
      <c r="AF70" s="171"/>
      <c r="AG70" s="171"/>
    </row>
    <row r="71" spans="1:33" s="1" customFormat="1" ht="19.5" customHeight="1">
      <c r="A71" s="90"/>
      <c r="B71" s="88"/>
      <c r="C71" s="89"/>
      <c r="D71" s="18"/>
      <c r="E71" s="18"/>
      <c r="F71" s="18"/>
      <c r="G71" s="18"/>
      <c r="H71" s="89"/>
      <c r="I71" s="18"/>
      <c r="J71" s="18"/>
      <c r="K71" s="18"/>
      <c r="L71" s="89"/>
      <c r="M71" s="18"/>
      <c r="N71" s="18"/>
      <c r="O71" s="18"/>
      <c r="P71" s="18"/>
      <c r="Q71" s="18"/>
      <c r="R71" s="29"/>
      <c r="S71" s="18"/>
      <c r="T71" s="18"/>
      <c r="U71" s="18"/>
      <c r="V71" s="89"/>
      <c r="W71" s="18"/>
      <c r="X71" s="18"/>
      <c r="Y71" s="18"/>
      <c r="Z71" s="89"/>
      <c r="AA71" s="18"/>
      <c r="AB71" s="18"/>
      <c r="AC71" s="18"/>
      <c r="AD71" s="18"/>
      <c r="AE71" s="18"/>
      <c r="AF71" s="171"/>
      <c r="AG71" s="171"/>
    </row>
    <row r="72" spans="1:33" s="1" customFormat="1" ht="19.5" customHeight="1">
      <c r="A72" s="90"/>
      <c r="B72" s="88"/>
      <c r="C72" s="89"/>
      <c r="D72" s="18"/>
      <c r="E72" s="18"/>
      <c r="F72" s="18"/>
      <c r="G72" s="18"/>
      <c r="H72" s="89"/>
      <c r="I72" s="18"/>
      <c r="J72" s="18"/>
      <c r="K72" s="18"/>
      <c r="L72" s="89"/>
      <c r="M72" s="18"/>
      <c r="N72" s="18"/>
      <c r="O72" s="18"/>
      <c r="P72" s="18"/>
      <c r="Q72" s="18"/>
      <c r="R72" s="29"/>
      <c r="S72" s="18"/>
      <c r="T72" s="18"/>
      <c r="U72" s="18"/>
      <c r="V72" s="89"/>
      <c r="W72" s="18"/>
      <c r="X72" s="18"/>
      <c r="Y72" s="18"/>
      <c r="Z72" s="89"/>
      <c r="AA72" s="18"/>
      <c r="AB72" s="18"/>
      <c r="AC72" s="18"/>
      <c r="AD72" s="18"/>
      <c r="AE72" s="18"/>
      <c r="AF72" s="171"/>
      <c r="AG72" s="171"/>
    </row>
    <row r="73" spans="1:33" s="1" customFormat="1" ht="19.5" customHeight="1">
      <c r="A73" s="90"/>
      <c r="B73" s="88"/>
      <c r="C73" s="89"/>
      <c r="D73" s="18"/>
      <c r="E73" s="18"/>
      <c r="F73" s="18"/>
      <c r="G73" s="18"/>
      <c r="H73" s="89"/>
      <c r="I73" s="18"/>
      <c r="J73" s="18"/>
      <c r="K73" s="18"/>
      <c r="L73" s="89"/>
      <c r="M73" s="18"/>
      <c r="N73" s="18"/>
      <c r="O73" s="18"/>
      <c r="P73" s="18"/>
      <c r="Q73" s="18"/>
      <c r="R73" s="29"/>
      <c r="S73" s="18"/>
      <c r="T73" s="18"/>
      <c r="U73" s="18"/>
      <c r="V73" s="89"/>
      <c r="W73" s="18"/>
      <c r="X73" s="18"/>
      <c r="Y73" s="18"/>
      <c r="Z73" s="89"/>
      <c r="AA73" s="18"/>
      <c r="AB73" s="18"/>
      <c r="AC73" s="18"/>
      <c r="AD73" s="18"/>
      <c r="AE73" s="18"/>
      <c r="AF73" s="171"/>
      <c r="AG73" s="171"/>
    </row>
    <row r="74" spans="1:33" s="1" customFormat="1" ht="19.5" customHeight="1">
      <c r="A74" s="90"/>
      <c r="B74" s="88"/>
      <c r="C74" s="89"/>
      <c r="D74" s="18"/>
      <c r="E74" s="18"/>
      <c r="F74" s="18"/>
      <c r="G74" s="18"/>
      <c r="H74" s="89"/>
      <c r="I74" s="18"/>
      <c r="J74" s="18"/>
      <c r="K74" s="18"/>
      <c r="L74" s="89"/>
      <c r="M74" s="18"/>
      <c r="N74" s="18"/>
      <c r="O74" s="18"/>
      <c r="P74" s="18"/>
      <c r="Q74" s="18"/>
      <c r="R74" s="29"/>
      <c r="S74" s="18"/>
      <c r="T74" s="18"/>
      <c r="U74" s="18"/>
      <c r="V74" s="89"/>
      <c r="W74" s="18"/>
      <c r="X74" s="18"/>
      <c r="Y74" s="18"/>
      <c r="Z74" s="89"/>
      <c r="AA74" s="18"/>
      <c r="AB74" s="18"/>
      <c r="AC74" s="18"/>
      <c r="AD74" s="18"/>
      <c r="AE74" s="18"/>
      <c r="AF74" s="171"/>
      <c r="AG74" s="171"/>
    </row>
    <row r="75" spans="1:33" s="1" customFormat="1" ht="19.5" customHeight="1">
      <c r="A75" s="90"/>
      <c r="B75" s="88"/>
      <c r="C75" s="89"/>
      <c r="D75" s="18"/>
      <c r="E75" s="18"/>
      <c r="F75" s="18"/>
      <c r="G75" s="18"/>
      <c r="H75" s="89"/>
      <c r="I75" s="18"/>
      <c r="J75" s="18"/>
      <c r="K75" s="18"/>
      <c r="L75" s="89"/>
      <c r="M75" s="18"/>
      <c r="N75" s="18"/>
      <c r="O75" s="18"/>
      <c r="P75" s="18"/>
      <c r="Q75" s="18"/>
      <c r="R75" s="29"/>
      <c r="S75" s="18"/>
      <c r="T75" s="18"/>
      <c r="U75" s="18"/>
      <c r="V75" s="89"/>
      <c r="W75" s="18"/>
      <c r="X75" s="18"/>
      <c r="Y75" s="18"/>
      <c r="Z75" s="89"/>
      <c r="AA75" s="18"/>
      <c r="AB75" s="18"/>
      <c r="AC75" s="18"/>
      <c r="AD75" s="18"/>
      <c r="AE75" s="18"/>
      <c r="AF75" s="171"/>
      <c r="AG75" s="171"/>
    </row>
    <row r="76" spans="1:33" s="1" customFormat="1" ht="19.5" customHeight="1">
      <c r="A76" s="90"/>
      <c r="B76" s="88"/>
      <c r="C76" s="89"/>
      <c r="D76" s="18"/>
      <c r="E76" s="18"/>
      <c r="F76" s="18"/>
      <c r="G76" s="18"/>
      <c r="H76" s="89"/>
      <c r="I76" s="18"/>
      <c r="J76" s="18"/>
      <c r="K76" s="18"/>
      <c r="L76" s="89"/>
      <c r="M76" s="18"/>
      <c r="N76" s="18"/>
      <c r="O76" s="18"/>
      <c r="P76" s="18"/>
      <c r="Q76" s="18"/>
      <c r="R76" s="29"/>
      <c r="S76" s="18"/>
      <c r="T76" s="18"/>
      <c r="U76" s="18"/>
      <c r="V76" s="89"/>
      <c r="W76" s="18"/>
      <c r="X76" s="18"/>
      <c r="Y76" s="18"/>
      <c r="Z76" s="89"/>
      <c r="AA76" s="18"/>
      <c r="AB76" s="18"/>
      <c r="AC76" s="18"/>
      <c r="AD76" s="18"/>
      <c r="AE76" s="18"/>
      <c r="AF76" s="171"/>
      <c r="AG76" s="171"/>
    </row>
    <row r="77" spans="1:33" s="1" customFormat="1" ht="19.5" customHeight="1">
      <c r="A77" s="90"/>
      <c r="B77" s="88"/>
      <c r="C77" s="89"/>
      <c r="D77" s="18"/>
      <c r="E77" s="18"/>
      <c r="F77" s="18"/>
      <c r="G77" s="18"/>
      <c r="H77" s="89"/>
      <c r="I77" s="18"/>
      <c r="J77" s="18"/>
      <c r="K77" s="18"/>
      <c r="L77" s="89"/>
      <c r="M77" s="18"/>
      <c r="N77" s="18"/>
      <c r="O77" s="18"/>
      <c r="P77" s="18"/>
      <c r="Q77" s="18"/>
      <c r="R77" s="29"/>
      <c r="S77" s="18"/>
      <c r="T77" s="18"/>
      <c r="U77" s="18"/>
      <c r="V77" s="89"/>
      <c r="W77" s="18"/>
      <c r="X77" s="18"/>
      <c r="Y77" s="18"/>
      <c r="Z77" s="89"/>
      <c r="AA77" s="18"/>
      <c r="AB77" s="18"/>
      <c r="AC77" s="18"/>
      <c r="AD77" s="18"/>
      <c r="AE77" s="18"/>
      <c r="AF77" s="171"/>
      <c r="AG77" s="171"/>
    </row>
    <row r="78" spans="1:33" s="1" customFormat="1" ht="19.5" customHeight="1">
      <c r="A78" s="90"/>
      <c r="B78" s="88"/>
      <c r="C78" s="89"/>
      <c r="D78" s="18"/>
      <c r="E78" s="18"/>
      <c r="F78" s="18"/>
      <c r="G78" s="18"/>
      <c r="H78" s="89"/>
      <c r="I78" s="18"/>
      <c r="J78" s="18"/>
      <c r="K78" s="18"/>
      <c r="L78" s="89"/>
      <c r="M78" s="18"/>
      <c r="N78" s="18"/>
      <c r="O78" s="18"/>
      <c r="P78" s="18"/>
      <c r="Q78" s="18"/>
      <c r="R78" s="29"/>
      <c r="S78" s="18"/>
      <c r="T78" s="18"/>
      <c r="U78" s="18"/>
      <c r="V78" s="89"/>
      <c r="W78" s="18"/>
      <c r="X78" s="18"/>
      <c r="Y78" s="18"/>
      <c r="Z78" s="89"/>
      <c r="AA78" s="18"/>
      <c r="AB78" s="18"/>
      <c r="AC78" s="18"/>
      <c r="AD78" s="18"/>
      <c r="AE78" s="18"/>
      <c r="AF78" s="171"/>
      <c r="AG78" s="171"/>
    </row>
    <row r="79" spans="1:33" s="1" customFormat="1" ht="19.5" customHeight="1">
      <c r="A79" s="90"/>
      <c r="B79" s="88"/>
      <c r="C79" s="89"/>
      <c r="D79" s="18"/>
      <c r="E79" s="18"/>
      <c r="F79" s="18"/>
      <c r="G79" s="18"/>
      <c r="H79" s="89"/>
      <c r="I79" s="18"/>
      <c r="J79" s="18"/>
      <c r="K79" s="18"/>
      <c r="L79" s="89"/>
      <c r="M79" s="18"/>
      <c r="N79" s="18"/>
      <c r="O79" s="18"/>
      <c r="P79" s="18"/>
      <c r="Q79" s="18"/>
      <c r="R79" s="29"/>
      <c r="S79" s="18"/>
      <c r="T79" s="18"/>
      <c r="U79" s="18"/>
      <c r="V79" s="89"/>
      <c r="W79" s="18"/>
      <c r="X79" s="18"/>
      <c r="Y79" s="18"/>
      <c r="Z79" s="89"/>
      <c r="AA79" s="18"/>
      <c r="AB79" s="18"/>
      <c r="AC79" s="18"/>
      <c r="AD79" s="18"/>
      <c r="AE79" s="18"/>
      <c r="AF79" s="171"/>
      <c r="AG79" s="171"/>
    </row>
    <row r="80" spans="1:33" s="1" customFormat="1" ht="19.5" customHeight="1">
      <c r="A80" s="90"/>
      <c r="B80" s="88"/>
      <c r="C80" s="89"/>
      <c r="D80" s="18"/>
      <c r="E80" s="18"/>
      <c r="F80" s="18"/>
      <c r="G80" s="18"/>
      <c r="H80" s="89"/>
      <c r="I80" s="18"/>
      <c r="J80" s="18"/>
      <c r="K80" s="18"/>
      <c r="L80" s="89"/>
      <c r="M80" s="18"/>
      <c r="N80" s="18"/>
      <c r="O80" s="18"/>
      <c r="P80" s="18"/>
      <c r="Q80" s="18"/>
      <c r="R80" s="29"/>
      <c r="S80" s="18"/>
      <c r="T80" s="18"/>
      <c r="U80" s="18"/>
      <c r="V80" s="89"/>
      <c r="W80" s="18"/>
      <c r="X80" s="18"/>
      <c r="Y80" s="18"/>
      <c r="Z80" s="89"/>
      <c r="AA80" s="18"/>
      <c r="AB80" s="18"/>
      <c r="AC80" s="18"/>
      <c r="AD80" s="18"/>
      <c r="AE80" s="18"/>
      <c r="AF80" s="171"/>
      <c r="AG80" s="171"/>
    </row>
    <row r="81" spans="1:33" s="1" customFormat="1" ht="19.5" customHeight="1">
      <c r="A81" s="90"/>
      <c r="B81" s="88"/>
      <c r="C81" s="89"/>
      <c r="D81" s="18"/>
      <c r="E81" s="18"/>
      <c r="F81" s="18"/>
      <c r="G81" s="18"/>
      <c r="H81" s="89"/>
      <c r="I81" s="18"/>
      <c r="J81" s="18"/>
      <c r="K81" s="18"/>
      <c r="L81" s="89"/>
      <c r="M81" s="18"/>
      <c r="N81" s="18"/>
      <c r="O81" s="18"/>
      <c r="P81" s="18"/>
      <c r="Q81" s="18"/>
      <c r="R81" s="29"/>
      <c r="S81" s="18"/>
      <c r="T81" s="18"/>
      <c r="U81" s="18"/>
      <c r="V81" s="89"/>
      <c r="W81" s="18"/>
      <c r="X81" s="18"/>
      <c r="Y81" s="18"/>
      <c r="Z81" s="89"/>
      <c r="AA81" s="18"/>
      <c r="AB81" s="18"/>
      <c r="AC81" s="18"/>
      <c r="AD81" s="18"/>
      <c r="AE81" s="18"/>
      <c r="AF81" s="171"/>
      <c r="AG81" s="171"/>
    </row>
    <row r="82" spans="1:33" s="1" customFormat="1" ht="19.5" customHeight="1">
      <c r="A82" s="90"/>
      <c r="B82" s="88"/>
      <c r="C82" s="89"/>
      <c r="D82" s="18"/>
      <c r="E82" s="18"/>
      <c r="F82" s="18"/>
      <c r="G82" s="18"/>
      <c r="H82" s="89"/>
      <c r="I82" s="18"/>
      <c r="J82" s="18"/>
      <c r="K82" s="18"/>
      <c r="L82" s="89"/>
      <c r="M82" s="18"/>
      <c r="N82" s="18"/>
      <c r="O82" s="18"/>
      <c r="P82" s="18"/>
      <c r="Q82" s="18"/>
      <c r="R82" s="29"/>
      <c r="S82" s="18"/>
      <c r="T82" s="18"/>
      <c r="U82" s="18"/>
      <c r="V82" s="89"/>
      <c r="W82" s="18"/>
      <c r="X82" s="18"/>
      <c r="Y82" s="18"/>
      <c r="Z82" s="89"/>
      <c r="AA82" s="18"/>
      <c r="AB82" s="18"/>
      <c r="AC82" s="18"/>
      <c r="AD82" s="18"/>
      <c r="AE82" s="18"/>
      <c r="AF82" s="171"/>
      <c r="AG82" s="171"/>
    </row>
    <row r="83" spans="1:33" s="1" customFormat="1" ht="19.5" customHeight="1">
      <c r="A83" s="90"/>
      <c r="B83" s="88"/>
      <c r="C83" s="89"/>
      <c r="D83" s="18"/>
      <c r="E83" s="18"/>
      <c r="F83" s="18"/>
      <c r="G83" s="18"/>
      <c r="H83" s="89"/>
      <c r="I83" s="18"/>
      <c r="J83" s="18"/>
      <c r="K83" s="18"/>
      <c r="L83" s="89"/>
      <c r="M83" s="18"/>
      <c r="N83" s="18"/>
      <c r="O83" s="18"/>
      <c r="P83" s="18"/>
      <c r="Q83" s="18"/>
      <c r="R83" s="29"/>
      <c r="S83" s="18"/>
      <c r="T83" s="18"/>
      <c r="U83" s="18"/>
      <c r="V83" s="89"/>
      <c r="W83" s="18"/>
      <c r="X83" s="18"/>
      <c r="Y83" s="18"/>
      <c r="Z83" s="89"/>
      <c r="AA83" s="18"/>
      <c r="AB83" s="18"/>
      <c r="AC83" s="18"/>
      <c r="AD83" s="18"/>
      <c r="AE83" s="18"/>
      <c r="AF83" s="171"/>
      <c r="AG83" s="171"/>
    </row>
    <row r="84" spans="1:33" s="1" customFormat="1" ht="19.5" customHeight="1">
      <c r="A84" s="90"/>
      <c r="B84" s="88"/>
      <c r="C84" s="89"/>
      <c r="D84" s="18"/>
      <c r="E84" s="18"/>
      <c r="F84" s="18"/>
      <c r="G84" s="18"/>
      <c r="H84" s="89"/>
      <c r="I84" s="18"/>
      <c r="J84" s="18"/>
      <c r="K84" s="18"/>
      <c r="L84" s="89"/>
      <c r="M84" s="18"/>
      <c r="N84" s="18"/>
      <c r="O84" s="18"/>
      <c r="P84" s="18"/>
      <c r="Q84" s="18"/>
      <c r="R84" s="29"/>
      <c r="S84" s="18"/>
      <c r="T84" s="18"/>
      <c r="U84" s="18"/>
      <c r="V84" s="89"/>
      <c r="W84" s="18"/>
      <c r="X84" s="18"/>
      <c r="Y84" s="18"/>
      <c r="Z84" s="89"/>
      <c r="AA84" s="18"/>
      <c r="AB84" s="18"/>
      <c r="AC84" s="18"/>
      <c r="AD84" s="18"/>
      <c r="AE84" s="18"/>
      <c r="AF84" s="171"/>
      <c r="AG84" s="171"/>
    </row>
    <row r="85" spans="1:33" s="1" customFormat="1" ht="19.5" customHeight="1">
      <c r="A85" s="90"/>
      <c r="B85" s="88"/>
      <c r="C85" s="89"/>
      <c r="D85" s="18"/>
      <c r="E85" s="18"/>
      <c r="F85" s="18"/>
      <c r="G85" s="18"/>
      <c r="H85" s="89"/>
      <c r="I85" s="18"/>
      <c r="J85" s="18"/>
      <c r="K85" s="18"/>
      <c r="L85" s="89"/>
      <c r="M85" s="18"/>
      <c r="N85" s="18"/>
      <c r="O85" s="18"/>
      <c r="P85" s="18"/>
      <c r="Q85" s="18"/>
      <c r="R85" s="29"/>
      <c r="S85" s="18"/>
      <c r="T85" s="18"/>
      <c r="U85" s="18"/>
      <c r="V85" s="89"/>
      <c r="W85" s="18"/>
      <c r="X85" s="18"/>
      <c r="Y85" s="18"/>
      <c r="Z85" s="89"/>
      <c r="AA85" s="18"/>
      <c r="AB85" s="18"/>
      <c r="AC85" s="18"/>
      <c r="AD85" s="18"/>
      <c r="AE85" s="18"/>
      <c r="AF85" s="171"/>
      <c r="AG85" s="171"/>
    </row>
    <row r="86" spans="1:33" s="1" customFormat="1" ht="19.5" customHeight="1">
      <c r="A86" s="90"/>
      <c r="B86" s="88"/>
      <c r="C86" s="89"/>
      <c r="D86" s="18"/>
      <c r="E86" s="18"/>
      <c r="F86" s="18"/>
      <c r="G86" s="18"/>
      <c r="H86" s="89"/>
      <c r="I86" s="18"/>
      <c r="J86" s="18"/>
      <c r="K86" s="18"/>
      <c r="L86" s="89"/>
      <c r="M86" s="18"/>
      <c r="N86" s="18"/>
      <c r="O86" s="18"/>
      <c r="P86" s="18"/>
      <c r="Q86" s="18"/>
      <c r="R86" s="29"/>
      <c r="S86" s="18"/>
      <c r="T86" s="18"/>
      <c r="U86" s="18"/>
      <c r="V86" s="89"/>
      <c r="W86" s="18"/>
      <c r="X86" s="18"/>
      <c r="Y86" s="18"/>
      <c r="Z86" s="89"/>
      <c r="AA86" s="18"/>
      <c r="AB86" s="18"/>
      <c r="AC86" s="18"/>
      <c r="AD86" s="18"/>
      <c r="AE86" s="18"/>
      <c r="AF86" s="171"/>
      <c r="AG86" s="171"/>
    </row>
    <row r="87" spans="1:33" s="1" customFormat="1" ht="19.5" customHeight="1">
      <c r="A87" s="90"/>
      <c r="B87" s="88"/>
      <c r="C87" s="89"/>
      <c r="D87" s="18"/>
      <c r="E87" s="18"/>
      <c r="F87" s="18"/>
      <c r="G87" s="18"/>
      <c r="H87" s="89"/>
      <c r="I87" s="18"/>
      <c r="J87" s="18"/>
      <c r="K87" s="18"/>
      <c r="L87" s="89"/>
      <c r="M87" s="18"/>
      <c r="N87" s="18"/>
      <c r="O87" s="18"/>
      <c r="P87" s="18"/>
      <c r="Q87" s="18"/>
      <c r="R87" s="29"/>
      <c r="S87" s="18"/>
      <c r="T87" s="18"/>
      <c r="U87" s="18"/>
      <c r="V87" s="89"/>
      <c r="W87" s="18"/>
      <c r="X87" s="18"/>
      <c r="Y87" s="18"/>
      <c r="Z87" s="89"/>
      <c r="AA87" s="18"/>
      <c r="AB87" s="18"/>
      <c r="AC87" s="18"/>
      <c r="AD87" s="18"/>
      <c r="AE87" s="18"/>
      <c r="AF87" s="171"/>
      <c r="AG87" s="171"/>
    </row>
    <row r="88" spans="1:33" s="1" customFormat="1" ht="19.5" customHeight="1">
      <c r="A88" s="90"/>
      <c r="B88" s="88"/>
      <c r="C88" s="89"/>
      <c r="D88" s="18"/>
      <c r="E88" s="18"/>
      <c r="F88" s="18"/>
      <c r="G88" s="18"/>
      <c r="H88" s="89"/>
      <c r="I88" s="18"/>
      <c r="J88" s="18"/>
      <c r="K88" s="18"/>
      <c r="L88" s="89"/>
      <c r="M88" s="18"/>
      <c r="N88" s="18"/>
      <c r="O88" s="18"/>
      <c r="P88" s="18"/>
      <c r="Q88" s="18"/>
      <c r="R88" s="29"/>
      <c r="S88" s="18"/>
      <c r="T88" s="18"/>
      <c r="U88" s="18"/>
      <c r="V88" s="89"/>
      <c r="W88" s="18"/>
      <c r="X88" s="18"/>
      <c r="Y88" s="18"/>
      <c r="Z88" s="89"/>
      <c r="AA88" s="18"/>
      <c r="AB88" s="18"/>
      <c r="AC88" s="18"/>
      <c r="AD88" s="18"/>
      <c r="AE88" s="18"/>
      <c r="AF88" s="171"/>
      <c r="AG88" s="171"/>
    </row>
    <row r="89" spans="1:33" s="1" customFormat="1" ht="19.5" customHeight="1">
      <c r="A89" s="90"/>
      <c r="B89" s="88"/>
      <c r="C89" s="89"/>
      <c r="D89" s="18"/>
      <c r="E89" s="18"/>
      <c r="F89" s="18"/>
      <c r="G89" s="18"/>
      <c r="H89" s="89"/>
      <c r="I89" s="18"/>
      <c r="J89" s="18"/>
      <c r="K89" s="18"/>
      <c r="L89" s="89"/>
      <c r="M89" s="18"/>
      <c r="N89" s="18"/>
      <c r="O89" s="18"/>
      <c r="P89" s="18"/>
      <c r="Q89" s="18"/>
      <c r="R89" s="29"/>
      <c r="S89" s="18"/>
      <c r="T89" s="18"/>
      <c r="U89" s="18"/>
      <c r="V89" s="89"/>
      <c r="W89" s="18"/>
      <c r="X89" s="18"/>
      <c r="Y89" s="18"/>
      <c r="Z89" s="89"/>
      <c r="AA89" s="18"/>
      <c r="AB89" s="18"/>
      <c r="AC89" s="18"/>
      <c r="AD89" s="18"/>
      <c r="AE89" s="18"/>
      <c r="AF89" s="171"/>
      <c r="AG89" s="171"/>
    </row>
    <row r="90" spans="1:33" s="1" customFormat="1" ht="19.5" customHeight="1">
      <c r="A90" s="90"/>
      <c r="B90" s="88"/>
      <c r="C90" s="89"/>
      <c r="D90" s="18"/>
      <c r="E90" s="18"/>
      <c r="F90" s="18"/>
      <c r="G90" s="18"/>
      <c r="H90" s="89"/>
      <c r="I90" s="18"/>
      <c r="J90" s="18"/>
      <c r="K90" s="18"/>
      <c r="L90" s="89"/>
      <c r="M90" s="18"/>
      <c r="N90" s="18"/>
      <c r="O90" s="18"/>
      <c r="P90" s="18"/>
      <c r="Q90" s="18"/>
      <c r="R90" s="29"/>
      <c r="S90" s="18"/>
      <c r="T90" s="18"/>
      <c r="U90" s="18"/>
      <c r="V90" s="89"/>
      <c r="W90" s="18"/>
      <c r="X90" s="18"/>
      <c r="Y90" s="18"/>
      <c r="Z90" s="89"/>
      <c r="AA90" s="18"/>
      <c r="AB90" s="18"/>
      <c r="AC90" s="18"/>
      <c r="AD90" s="18"/>
      <c r="AE90" s="18"/>
      <c r="AF90" s="171"/>
      <c r="AG90" s="171"/>
    </row>
    <row r="91" spans="1:33" s="1" customFormat="1" ht="19.5" customHeight="1">
      <c r="A91" s="90"/>
      <c r="B91" s="88"/>
      <c r="C91" s="89"/>
      <c r="D91" s="18"/>
      <c r="E91" s="18"/>
      <c r="F91" s="18"/>
      <c r="G91" s="18"/>
      <c r="H91" s="89"/>
      <c r="I91" s="18"/>
      <c r="J91" s="18"/>
      <c r="K91" s="18"/>
      <c r="L91" s="89"/>
      <c r="M91" s="18"/>
      <c r="N91" s="18"/>
      <c r="O91" s="18"/>
      <c r="P91" s="18"/>
      <c r="Q91" s="18"/>
      <c r="R91" s="29"/>
      <c r="S91" s="18"/>
      <c r="T91" s="18"/>
      <c r="U91" s="18"/>
      <c r="V91" s="89"/>
      <c r="W91" s="18"/>
      <c r="X91" s="18"/>
      <c r="Y91" s="18"/>
      <c r="Z91" s="89"/>
      <c r="AA91" s="18"/>
      <c r="AB91" s="18"/>
      <c r="AC91" s="18"/>
      <c r="AD91" s="18"/>
      <c r="AE91" s="18"/>
      <c r="AF91" s="171"/>
      <c r="AG91" s="171"/>
    </row>
    <row r="92" spans="1:33" s="1" customFormat="1" ht="19.5" customHeight="1">
      <c r="A92" s="90"/>
      <c r="B92" s="88"/>
      <c r="C92" s="89"/>
      <c r="D92" s="18"/>
      <c r="E92" s="18"/>
      <c r="F92" s="18"/>
      <c r="G92" s="18"/>
      <c r="H92" s="89"/>
      <c r="I92" s="18"/>
      <c r="J92" s="18"/>
      <c r="K92" s="18"/>
      <c r="L92" s="89"/>
      <c r="M92" s="18"/>
      <c r="N92" s="18"/>
      <c r="O92" s="18"/>
      <c r="P92" s="18"/>
      <c r="Q92" s="18"/>
      <c r="R92" s="29"/>
      <c r="S92" s="18"/>
      <c r="T92" s="18"/>
      <c r="U92" s="18"/>
      <c r="V92" s="89"/>
      <c r="W92" s="18"/>
      <c r="X92" s="18"/>
      <c r="Y92" s="18"/>
      <c r="Z92" s="89"/>
      <c r="AA92" s="18"/>
      <c r="AB92" s="18"/>
      <c r="AC92" s="18"/>
      <c r="AD92" s="18"/>
      <c r="AE92" s="18"/>
      <c r="AF92" s="171"/>
      <c r="AG92" s="171"/>
    </row>
    <row r="93" spans="1:33" s="1" customFormat="1" ht="19.5" customHeight="1">
      <c r="A93" s="90"/>
      <c r="B93" s="88"/>
      <c r="C93" s="89"/>
      <c r="D93" s="18"/>
      <c r="E93" s="18"/>
      <c r="F93" s="18"/>
      <c r="G93" s="18"/>
      <c r="H93" s="89"/>
      <c r="I93" s="18"/>
      <c r="J93" s="18"/>
      <c r="K93" s="18"/>
      <c r="L93" s="89"/>
      <c r="M93" s="18"/>
      <c r="N93" s="18"/>
      <c r="O93" s="18"/>
      <c r="P93" s="18"/>
      <c r="Q93" s="18"/>
      <c r="R93" s="29"/>
      <c r="S93" s="18"/>
      <c r="T93" s="18"/>
      <c r="U93" s="18"/>
      <c r="V93" s="89"/>
      <c r="W93" s="18"/>
      <c r="X93" s="18"/>
      <c r="Y93" s="18"/>
      <c r="Z93" s="89"/>
      <c r="AA93" s="18"/>
      <c r="AB93" s="18"/>
      <c r="AC93" s="18"/>
      <c r="AD93" s="18"/>
      <c r="AE93" s="18"/>
      <c r="AF93" s="171"/>
      <c r="AG93" s="171"/>
    </row>
    <row r="94" spans="1:33" s="1" customFormat="1" ht="19.5" customHeight="1">
      <c r="A94" s="90"/>
      <c r="B94" s="88"/>
      <c r="C94" s="89"/>
      <c r="D94" s="18"/>
      <c r="E94" s="18"/>
      <c r="F94" s="18"/>
      <c r="G94" s="18"/>
      <c r="H94" s="89"/>
      <c r="I94" s="18"/>
      <c r="J94" s="18"/>
      <c r="K94" s="18"/>
      <c r="L94" s="89"/>
      <c r="M94" s="18"/>
      <c r="N94" s="18"/>
      <c r="O94" s="18"/>
      <c r="P94" s="18"/>
      <c r="Q94" s="18"/>
      <c r="R94" s="29"/>
      <c r="S94" s="18"/>
      <c r="T94" s="18"/>
      <c r="U94" s="18"/>
      <c r="V94" s="89"/>
      <c r="W94" s="18"/>
      <c r="X94" s="18"/>
      <c r="Y94" s="18"/>
      <c r="Z94" s="89"/>
      <c r="AA94" s="18"/>
      <c r="AB94" s="18"/>
      <c r="AC94" s="18"/>
      <c r="AD94" s="18"/>
      <c r="AE94" s="18"/>
      <c r="AF94" s="171"/>
      <c r="AG94" s="171"/>
    </row>
    <row r="95" spans="1:33" s="1" customFormat="1" ht="19.5" customHeight="1">
      <c r="A95" s="90"/>
      <c r="B95" s="88"/>
      <c r="C95" s="89"/>
      <c r="D95" s="18"/>
      <c r="E95" s="18"/>
      <c r="F95" s="18"/>
      <c r="G95" s="18"/>
      <c r="H95" s="89"/>
      <c r="I95" s="18"/>
      <c r="J95" s="18"/>
      <c r="K95" s="18"/>
      <c r="L95" s="89"/>
      <c r="M95" s="18"/>
      <c r="N95" s="18"/>
      <c r="O95" s="18"/>
      <c r="P95" s="18"/>
      <c r="Q95" s="18"/>
      <c r="R95" s="29"/>
      <c r="S95" s="18"/>
      <c r="T95" s="18"/>
      <c r="U95" s="18"/>
      <c r="V95" s="89"/>
      <c r="W95" s="18"/>
      <c r="X95" s="18"/>
      <c r="Y95" s="18"/>
      <c r="Z95" s="89"/>
      <c r="AA95" s="18"/>
      <c r="AB95" s="18"/>
      <c r="AC95" s="18"/>
      <c r="AD95" s="18"/>
      <c r="AE95" s="18"/>
      <c r="AF95" s="171"/>
      <c r="AG95" s="171"/>
    </row>
    <row r="96" spans="1:33" s="1" customFormat="1" ht="19.5" customHeight="1">
      <c r="A96" s="90"/>
      <c r="B96" s="88"/>
      <c r="C96" s="89"/>
      <c r="D96" s="18"/>
      <c r="E96" s="18"/>
      <c r="F96" s="18"/>
      <c r="G96" s="18"/>
      <c r="H96" s="89"/>
      <c r="I96" s="18"/>
      <c r="J96" s="18"/>
      <c r="K96" s="18"/>
      <c r="L96" s="89"/>
      <c r="M96" s="18"/>
      <c r="N96" s="18"/>
      <c r="O96" s="18"/>
      <c r="P96" s="18"/>
      <c r="Q96" s="18"/>
      <c r="R96" s="29"/>
      <c r="S96" s="18"/>
      <c r="T96" s="18"/>
      <c r="U96" s="18"/>
      <c r="V96" s="89"/>
      <c r="W96" s="18"/>
      <c r="X96" s="18"/>
      <c r="Y96" s="18"/>
      <c r="Z96" s="89"/>
      <c r="AA96" s="18"/>
      <c r="AB96" s="18"/>
      <c r="AC96" s="18"/>
      <c r="AD96" s="18"/>
      <c r="AE96" s="18"/>
      <c r="AF96" s="171"/>
      <c r="AG96" s="171"/>
    </row>
    <row r="97" spans="1:33" s="1" customFormat="1" ht="19.5" customHeight="1">
      <c r="A97" s="90"/>
      <c r="B97" s="88"/>
      <c r="C97" s="89"/>
      <c r="D97" s="18"/>
      <c r="E97" s="18"/>
      <c r="F97" s="18"/>
      <c r="G97" s="18"/>
      <c r="H97" s="89"/>
      <c r="I97" s="18"/>
      <c r="J97" s="18"/>
      <c r="K97" s="18"/>
      <c r="L97" s="89"/>
      <c r="M97" s="18"/>
      <c r="N97" s="18"/>
      <c r="O97" s="18"/>
      <c r="P97" s="18"/>
      <c r="Q97" s="18"/>
      <c r="R97" s="29"/>
      <c r="S97" s="18"/>
      <c r="T97" s="18"/>
      <c r="U97" s="18"/>
      <c r="V97" s="89"/>
      <c r="W97" s="18"/>
      <c r="X97" s="18"/>
      <c r="Y97" s="18"/>
      <c r="Z97" s="89"/>
      <c r="AA97" s="18"/>
      <c r="AB97" s="18"/>
      <c r="AC97" s="18"/>
      <c r="AD97" s="18"/>
      <c r="AE97" s="18"/>
      <c r="AF97" s="171"/>
      <c r="AG97" s="171"/>
    </row>
    <row r="98" spans="1:33" s="1" customFormat="1" ht="19.5" customHeight="1">
      <c r="A98" s="90"/>
      <c r="B98" s="88"/>
      <c r="C98" s="89"/>
      <c r="D98" s="18"/>
      <c r="E98" s="18"/>
      <c r="F98" s="18"/>
      <c r="G98" s="18"/>
      <c r="H98" s="89"/>
      <c r="I98" s="18"/>
      <c r="J98" s="18"/>
      <c r="K98" s="18"/>
      <c r="L98" s="89"/>
      <c r="M98" s="18"/>
      <c r="N98" s="18"/>
      <c r="O98" s="18"/>
      <c r="P98" s="18"/>
      <c r="Q98" s="18"/>
      <c r="R98" s="29"/>
      <c r="S98" s="18"/>
      <c r="T98" s="18"/>
      <c r="U98" s="18"/>
      <c r="V98" s="89"/>
      <c r="W98" s="18"/>
      <c r="X98" s="18"/>
      <c r="Y98" s="18"/>
      <c r="Z98" s="89"/>
      <c r="AA98" s="18"/>
      <c r="AB98" s="18"/>
      <c r="AC98" s="18"/>
      <c r="AD98" s="18"/>
      <c r="AE98" s="18"/>
      <c r="AF98" s="171"/>
      <c r="AG98" s="171"/>
    </row>
    <row r="99" spans="1:33" s="1" customFormat="1" ht="19.5" customHeight="1">
      <c r="A99" s="90"/>
      <c r="B99" s="88"/>
      <c r="C99" s="89"/>
      <c r="D99" s="18"/>
      <c r="E99" s="18"/>
      <c r="F99" s="18"/>
      <c r="G99" s="18"/>
      <c r="H99" s="89"/>
      <c r="I99" s="18"/>
      <c r="J99" s="18"/>
      <c r="K99" s="18"/>
      <c r="L99" s="89"/>
      <c r="M99" s="18"/>
      <c r="N99" s="18"/>
      <c r="O99" s="18"/>
      <c r="P99" s="18"/>
      <c r="Q99" s="18"/>
      <c r="R99" s="29"/>
      <c r="S99" s="18"/>
      <c r="T99" s="18"/>
      <c r="U99" s="18"/>
      <c r="V99" s="89"/>
      <c r="W99" s="18"/>
      <c r="X99" s="18"/>
      <c r="Y99" s="18"/>
      <c r="Z99" s="89"/>
      <c r="AA99" s="18"/>
      <c r="AB99" s="18"/>
      <c r="AC99" s="18"/>
      <c r="AD99" s="18"/>
      <c r="AE99" s="18"/>
      <c r="AF99" s="171"/>
      <c r="AG99" s="171"/>
    </row>
    <row r="100" spans="1:33" s="1" customFormat="1" ht="19.5" customHeight="1">
      <c r="A100" s="90"/>
      <c r="B100" s="88"/>
      <c r="C100" s="89"/>
      <c r="D100" s="18"/>
      <c r="E100" s="18"/>
      <c r="F100" s="18"/>
      <c r="G100" s="18"/>
      <c r="H100" s="89"/>
      <c r="I100" s="18"/>
      <c r="J100" s="18"/>
      <c r="K100" s="18"/>
      <c r="L100" s="89"/>
      <c r="M100" s="18"/>
      <c r="N100" s="18"/>
      <c r="O100" s="18"/>
      <c r="P100" s="18"/>
      <c r="Q100" s="18"/>
      <c r="R100" s="29"/>
      <c r="S100" s="18"/>
      <c r="T100" s="18"/>
      <c r="U100" s="18"/>
      <c r="V100" s="89"/>
      <c r="W100" s="18"/>
      <c r="X100" s="18"/>
      <c r="Y100" s="18"/>
      <c r="Z100" s="89"/>
      <c r="AA100" s="18"/>
      <c r="AB100" s="18"/>
      <c r="AC100" s="18"/>
      <c r="AD100" s="18"/>
      <c r="AE100" s="18"/>
      <c r="AF100" s="171"/>
      <c r="AG100" s="171"/>
    </row>
    <row r="101" spans="1:33" s="1" customFormat="1" ht="19.5" customHeight="1">
      <c r="A101" s="90"/>
      <c r="B101" s="88"/>
      <c r="C101" s="89"/>
      <c r="D101" s="18"/>
      <c r="E101" s="18"/>
      <c r="F101" s="18"/>
      <c r="G101" s="18"/>
      <c r="H101" s="89"/>
      <c r="I101" s="18"/>
      <c r="J101" s="18"/>
      <c r="K101" s="18"/>
      <c r="L101" s="89"/>
      <c r="M101" s="18"/>
      <c r="N101" s="18"/>
      <c r="O101" s="18"/>
      <c r="P101" s="18"/>
      <c r="Q101" s="18"/>
      <c r="R101" s="29"/>
      <c r="S101" s="18"/>
      <c r="T101" s="18"/>
      <c r="U101" s="18"/>
      <c r="V101" s="89"/>
      <c r="W101" s="18"/>
      <c r="X101" s="18"/>
      <c r="Y101" s="18"/>
      <c r="Z101" s="89"/>
      <c r="AA101" s="18"/>
      <c r="AB101" s="18"/>
      <c r="AC101" s="18"/>
      <c r="AD101" s="18"/>
      <c r="AE101" s="18"/>
      <c r="AF101" s="171"/>
      <c r="AG101" s="171"/>
    </row>
    <row r="102" spans="1:33" s="1" customFormat="1" ht="19.5" customHeight="1">
      <c r="A102" s="90"/>
      <c r="B102" s="88"/>
      <c r="C102" s="89"/>
      <c r="D102" s="18"/>
      <c r="E102" s="18"/>
      <c r="F102" s="18"/>
      <c r="G102" s="18"/>
      <c r="H102" s="89"/>
      <c r="I102" s="18"/>
      <c r="J102" s="18"/>
      <c r="K102" s="18"/>
      <c r="L102" s="89"/>
      <c r="M102" s="18"/>
      <c r="N102" s="18"/>
      <c r="O102" s="18"/>
      <c r="P102" s="18"/>
      <c r="Q102" s="18"/>
      <c r="R102" s="29"/>
      <c r="S102" s="18"/>
      <c r="T102" s="18"/>
      <c r="U102" s="18"/>
      <c r="V102" s="89"/>
      <c r="W102" s="18"/>
      <c r="X102" s="18"/>
      <c r="Y102" s="18"/>
      <c r="Z102" s="89"/>
      <c r="AA102" s="18"/>
      <c r="AB102" s="18"/>
      <c r="AC102" s="18"/>
      <c r="AD102" s="18"/>
      <c r="AE102" s="18"/>
      <c r="AF102" s="171"/>
      <c r="AG102" s="171"/>
    </row>
    <row r="103" spans="1:33" s="1" customFormat="1" ht="19.5" customHeight="1">
      <c r="A103" s="90"/>
      <c r="B103" s="88"/>
      <c r="C103" s="89"/>
      <c r="D103" s="18"/>
      <c r="E103" s="18"/>
      <c r="F103" s="18"/>
      <c r="G103" s="18"/>
      <c r="H103" s="89"/>
      <c r="I103" s="18"/>
      <c r="J103" s="18"/>
      <c r="K103" s="18"/>
      <c r="L103" s="89"/>
      <c r="M103" s="18"/>
      <c r="N103" s="18"/>
      <c r="O103" s="18"/>
      <c r="P103" s="18"/>
      <c r="Q103" s="18"/>
      <c r="R103" s="29"/>
      <c r="S103" s="18"/>
      <c r="T103" s="18"/>
      <c r="U103" s="18"/>
      <c r="V103" s="89"/>
      <c r="W103" s="18"/>
      <c r="X103" s="18"/>
      <c r="Y103" s="18"/>
      <c r="Z103" s="89"/>
      <c r="AA103" s="18"/>
      <c r="AB103" s="18"/>
      <c r="AC103" s="18"/>
      <c r="AD103" s="18"/>
      <c r="AE103" s="18"/>
      <c r="AF103" s="171"/>
      <c r="AG103" s="171"/>
    </row>
    <row r="104" spans="1:33" s="1" customFormat="1" ht="19.5" customHeight="1">
      <c r="A104" s="90"/>
      <c r="B104" s="88"/>
      <c r="C104" s="89"/>
      <c r="D104" s="18"/>
      <c r="E104" s="18"/>
      <c r="F104" s="18"/>
      <c r="G104" s="18"/>
      <c r="H104" s="89"/>
      <c r="I104" s="18"/>
      <c r="J104" s="18"/>
      <c r="K104" s="18"/>
      <c r="L104" s="89"/>
      <c r="M104" s="18"/>
      <c r="N104" s="18"/>
      <c r="O104" s="18"/>
      <c r="P104" s="18"/>
      <c r="Q104" s="18"/>
      <c r="R104" s="29"/>
      <c r="S104" s="18"/>
      <c r="T104" s="18"/>
      <c r="U104" s="18"/>
      <c r="V104" s="89"/>
      <c r="W104" s="18"/>
      <c r="X104" s="18"/>
      <c r="Y104" s="18"/>
      <c r="Z104" s="89"/>
      <c r="AA104" s="18"/>
      <c r="AB104" s="18"/>
      <c r="AC104" s="18"/>
      <c r="AD104" s="18"/>
      <c r="AE104" s="18"/>
      <c r="AF104" s="171"/>
      <c r="AG104" s="171"/>
    </row>
    <row r="105" spans="1:33" s="1" customFormat="1" ht="19.5" customHeight="1">
      <c r="A105" s="90"/>
      <c r="B105" s="88"/>
      <c r="C105" s="89"/>
      <c r="D105" s="18"/>
      <c r="E105" s="18"/>
      <c r="F105" s="18"/>
      <c r="G105" s="18"/>
      <c r="H105" s="89"/>
      <c r="I105" s="18"/>
      <c r="J105" s="18"/>
      <c r="K105" s="18"/>
      <c r="L105" s="89"/>
      <c r="M105" s="18"/>
      <c r="N105" s="18"/>
      <c r="O105" s="18"/>
      <c r="P105" s="18"/>
      <c r="Q105" s="18"/>
      <c r="R105" s="29"/>
      <c r="S105" s="18"/>
      <c r="T105" s="18"/>
      <c r="U105" s="18"/>
      <c r="V105" s="89"/>
      <c r="W105" s="18"/>
      <c r="X105" s="18"/>
      <c r="Y105" s="18"/>
      <c r="Z105" s="89"/>
      <c r="AA105" s="18"/>
      <c r="AB105" s="18"/>
      <c r="AC105" s="18"/>
      <c r="AD105" s="18"/>
      <c r="AE105" s="18"/>
      <c r="AF105" s="171"/>
      <c r="AG105" s="171"/>
    </row>
    <row r="106" spans="1:33" s="1" customFormat="1" ht="19.5" customHeight="1">
      <c r="A106" s="90"/>
      <c r="B106" s="88"/>
      <c r="C106" s="89"/>
      <c r="D106" s="18"/>
      <c r="E106" s="18"/>
      <c r="F106" s="18"/>
      <c r="G106" s="18"/>
      <c r="H106" s="89"/>
      <c r="I106" s="18"/>
      <c r="J106" s="18"/>
      <c r="K106" s="18"/>
      <c r="L106" s="89"/>
      <c r="M106" s="18"/>
      <c r="N106" s="18"/>
      <c r="O106" s="18"/>
      <c r="P106" s="18"/>
      <c r="Q106" s="18"/>
      <c r="R106" s="29"/>
      <c r="S106" s="18"/>
      <c r="T106" s="18"/>
      <c r="U106" s="18"/>
      <c r="V106" s="89"/>
      <c r="W106" s="18"/>
      <c r="X106" s="18"/>
      <c r="Y106" s="18"/>
      <c r="Z106" s="89"/>
      <c r="AA106" s="18"/>
      <c r="AB106" s="18"/>
      <c r="AC106" s="18"/>
      <c r="AD106" s="18"/>
      <c r="AE106" s="18"/>
      <c r="AF106" s="171"/>
      <c r="AG106" s="171"/>
    </row>
    <row r="107" spans="1:33" s="1" customFormat="1" ht="19.5" customHeight="1">
      <c r="A107" s="90"/>
      <c r="B107" s="88"/>
      <c r="C107" s="89"/>
      <c r="D107" s="18"/>
      <c r="E107" s="18"/>
      <c r="F107" s="18"/>
      <c r="G107" s="18"/>
      <c r="H107" s="89"/>
      <c r="I107" s="18"/>
      <c r="J107" s="18"/>
      <c r="K107" s="18"/>
      <c r="L107" s="89"/>
      <c r="M107" s="18"/>
      <c r="N107" s="18"/>
      <c r="O107" s="18"/>
      <c r="P107" s="18"/>
      <c r="Q107" s="18"/>
      <c r="R107" s="29"/>
      <c r="S107" s="18"/>
      <c r="T107" s="18"/>
      <c r="U107" s="18"/>
      <c r="V107" s="89"/>
      <c r="W107" s="18"/>
      <c r="X107" s="18"/>
      <c r="Y107" s="18"/>
      <c r="Z107" s="89"/>
      <c r="AA107" s="18"/>
      <c r="AB107" s="18"/>
      <c r="AC107" s="18"/>
      <c r="AD107" s="18"/>
      <c r="AE107" s="18"/>
      <c r="AF107" s="171"/>
      <c r="AG107" s="171"/>
    </row>
    <row r="108" spans="1:33" s="1" customFormat="1" ht="19.5" customHeight="1">
      <c r="A108" s="90"/>
      <c r="B108" s="88"/>
      <c r="C108" s="89"/>
      <c r="D108" s="18"/>
      <c r="E108" s="18"/>
      <c r="F108" s="18"/>
      <c r="G108" s="18"/>
      <c r="H108" s="89"/>
      <c r="I108" s="18"/>
      <c r="J108" s="18"/>
      <c r="K108" s="18"/>
      <c r="L108" s="89"/>
      <c r="M108" s="18"/>
      <c r="N108" s="18"/>
      <c r="O108" s="18"/>
      <c r="P108" s="18"/>
      <c r="Q108" s="18"/>
      <c r="R108" s="29"/>
      <c r="S108" s="18"/>
      <c r="T108" s="18"/>
      <c r="U108" s="18"/>
      <c r="V108" s="89"/>
      <c r="W108" s="18"/>
      <c r="X108" s="18"/>
      <c r="Y108" s="18"/>
      <c r="Z108" s="89"/>
      <c r="AA108" s="18"/>
      <c r="AB108" s="18"/>
      <c r="AC108" s="18"/>
      <c r="AD108" s="18"/>
      <c r="AE108" s="18"/>
      <c r="AF108" s="171"/>
      <c r="AG108" s="171"/>
    </row>
    <row r="109" spans="1:33" s="1" customFormat="1" ht="19.5" customHeight="1">
      <c r="A109" s="90"/>
      <c r="B109" s="88"/>
      <c r="C109" s="89"/>
      <c r="D109" s="18"/>
      <c r="E109" s="18"/>
      <c r="F109" s="18"/>
      <c r="G109" s="18"/>
      <c r="H109" s="89"/>
      <c r="I109" s="18"/>
      <c r="J109" s="18"/>
      <c r="K109" s="18"/>
      <c r="L109" s="89"/>
      <c r="M109" s="18"/>
      <c r="N109" s="18"/>
      <c r="O109" s="18"/>
      <c r="P109" s="18"/>
      <c r="Q109" s="18"/>
      <c r="R109" s="29"/>
      <c r="S109" s="18"/>
      <c r="T109" s="18"/>
      <c r="U109" s="18"/>
      <c r="V109" s="89"/>
      <c r="W109" s="18"/>
      <c r="X109" s="18"/>
      <c r="Y109" s="18"/>
      <c r="Z109" s="89"/>
      <c r="AA109" s="18"/>
      <c r="AB109" s="18"/>
      <c r="AC109" s="18"/>
      <c r="AD109" s="18"/>
      <c r="AE109" s="18"/>
      <c r="AF109" s="171"/>
      <c r="AG109" s="171"/>
    </row>
    <row r="110" spans="1:33" s="1" customFormat="1" ht="19.5" customHeight="1">
      <c r="A110" s="90"/>
      <c r="B110" s="88"/>
      <c r="C110" s="89"/>
      <c r="D110" s="18"/>
      <c r="E110" s="18"/>
      <c r="F110" s="18"/>
      <c r="G110" s="18"/>
      <c r="H110" s="89"/>
      <c r="I110" s="18"/>
      <c r="J110" s="18"/>
      <c r="K110" s="18"/>
      <c r="L110" s="89"/>
      <c r="M110" s="18"/>
      <c r="N110" s="18"/>
      <c r="O110" s="18"/>
      <c r="P110" s="18"/>
      <c r="Q110" s="18"/>
      <c r="R110" s="29"/>
      <c r="S110" s="18"/>
      <c r="T110" s="18"/>
      <c r="U110" s="18"/>
      <c r="V110" s="89"/>
      <c r="W110" s="18"/>
      <c r="X110" s="18"/>
      <c r="Y110" s="18"/>
      <c r="Z110" s="89"/>
      <c r="AA110" s="18"/>
      <c r="AB110" s="18"/>
      <c r="AC110" s="18"/>
      <c r="AD110" s="18"/>
      <c r="AE110" s="18"/>
      <c r="AF110" s="171"/>
      <c r="AG110" s="171"/>
    </row>
    <row r="111" spans="1:33" s="1" customFormat="1" ht="19.5" customHeight="1">
      <c r="A111" s="90"/>
      <c r="B111" s="88"/>
      <c r="C111" s="89"/>
      <c r="D111" s="18"/>
      <c r="E111" s="18"/>
      <c r="F111" s="18"/>
      <c r="G111" s="18"/>
      <c r="H111" s="89"/>
      <c r="I111" s="18"/>
      <c r="J111" s="18"/>
      <c r="K111" s="18"/>
      <c r="L111" s="89"/>
      <c r="M111" s="18"/>
      <c r="N111" s="18"/>
      <c r="O111" s="18"/>
      <c r="P111" s="18"/>
      <c r="Q111" s="18"/>
      <c r="R111" s="29"/>
      <c r="S111" s="18"/>
      <c r="T111" s="18"/>
      <c r="U111" s="18"/>
      <c r="V111" s="89"/>
      <c r="W111" s="18"/>
      <c r="X111" s="18"/>
      <c r="Y111" s="18"/>
      <c r="Z111" s="89"/>
      <c r="AA111" s="18"/>
      <c r="AB111" s="18"/>
      <c r="AC111" s="18"/>
      <c r="AD111" s="18"/>
      <c r="AE111" s="18"/>
      <c r="AF111" s="171"/>
      <c r="AG111" s="171"/>
    </row>
    <row r="112" spans="1:33" s="1" customFormat="1" ht="19.5" customHeight="1">
      <c r="A112" s="90"/>
      <c r="B112" s="88"/>
      <c r="C112" s="89"/>
      <c r="D112" s="18"/>
      <c r="E112" s="18"/>
      <c r="F112" s="18"/>
      <c r="G112" s="18"/>
      <c r="H112" s="89"/>
      <c r="I112" s="18"/>
      <c r="J112" s="18"/>
      <c r="K112" s="18"/>
      <c r="L112" s="89"/>
      <c r="M112" s="18"/>
      <c r="N112" s="18"/>
      <c r="O112" s="18"/>
      <c r="P112" s="18"/>
      <c r="Q112" s="18"/>
      <c r="R112" s="29"/>
      <c r="S112" s="18"/>
      <c r="T112" s="18"/>
      <c r="U112" s="18"/>
      <c r="V112" s="89"/>
      <c r="W112" s="18"/>
      <c r="X112" s="18"/>
      <c r="Y112" s="18"/>
      <c r="Z112" s="89"/>
      <c r="AA112" s="18"/>
      <c r="AB112" s="18"/>
      <c r="AC112" s="18"/>
      <c r="AD112" s="18"/>
      <c r="AE112" s="18"/>
      <c r="AF112" s="171"/>
      <c r="AG112" s="171"/>
    </row>
    <row r="113" spans="1:33" s="1" customFormat="1" ht="19.5" customHeight="1">
      <c r="A113" s="90"/>
      <c r="B113" s="88"/>
      <c r="C113" s="89"/>
      <c r="D113" s="18"/>
      <c r="E113" s="18"/>
      <c r="F113" s="18"/>
      <c r="G113" s="18"/>
      <c r="H113" s="89"/>
      <c r="I113" s="18"/>
      <c r="J113" s="18"/>
      <c r="K113" s="18"/>
      <c r="L113" s="89"/>
      <c r="M113" s="18"/>
      <c r="N113" s="18"/>
      <c r="O113" s="18"/>
      <c r="P113" s="18"/>
      <c r="Q113" s="18"/>
      <c r="R113" s="29"/>
      <c r="S113" s="18"/>
      <c r="T113" s="18"/>
      <c r="U113" s="18"/>
      <c r="V113" s="89"/>
      <c r="W113" s="18"/>
      <c r="X113" s="18"/>
      <c r="Y113" s="18"/>
      <c r="Z113" s="89"/>
      <c r="AA113" s="18"/>
      <c r="AB113" s="18"/>
      <c r="AC113" s="18"/>
      <c r="AD113" s="18"/>
      <c r="AE113" s="18"/>
      <c r="AF113" s="171"/>
      <c r="AG113" s="171"/>
    </row>
    <row r="114" spans="1:33" s="1" customFormat="1" ht="19.5" customHeight="1">
      <c r="A114" s="90"/>
      <c r="B114" s="88"/>
      <c r="C114" s="89"/>
      <c r="D114" s="18"/>
      <c r="E114" s="18"/>
      <c r="F114" s="18"/>
      <c r="G114" s="18"/>
      <c r="H114" s="89"/>
      <c r="I114" s="18"/>
      <c r="J114" s="18"/>
      <c r="K114" s="18"/>
      <c r="L114" s="89"/>
      <c r="M114" s="18"/>
      <c r="N114" s="18"/>
      <c r="O114" s="18"/>
      <c r="P114" s="18"/>
      <c r="Q114" s="18"/>
      <c r="R114" s="29"/>
      <c r="S114" s="18"/>
      <c r="T114" s="18"/>
      <c r="U114" s="18"/>
      <c r="V114" s="89"/>
      <c r="W114" s="18"/>
      <c r="X114" s="18"/>
      <c r="Y114" s="18"/>
      <c r="Z114" s="89"/>
      <c r="AA114" s="18"/>
      <c r="AB114" s="18"/>
      <c r="AC114" s="18"/>
      <c r="AD114" s="18"/>
      <c r="AE114" s="18"/>
      <c r="AF114" s="171"/>
      <c r="AG114" s="171"/>
    </row>
    <row r="115" spans="1:33" s="1" customFormat="1" ht="19.5" customHeight="1">
      <c r="A115" s="90"/>
      <c r="B115" s="88"/>
      <c r="C115" s="89"/>
      <c r="D115" s="18"/>
      <c r="E115" s="18"/>
      <c r="F115" s="18"/>
      <c r="G115" s="18"/>
      <c r="H115" s="89"/>
      <c r="I115" s="18"/>
      <c r="J115" s="18"/>
      <c r="K115" s="18"/>
      <c r="L115" s="89"/>
      <c r="M115" s="18"/>
      <c r="N115" s="18"/>
      <c r="O115" s="18"/>
      <c r="P115" s="18"/>
      <c r="Q115" s="18"/>
      <c r="R115" s="29"/>
      <c r="S115" s="18"/>
      <c r="T115" s="18"/>
      <c r="U115" s="18"/>
      <c r="V115" s="89"/>
      <c r="W115" s="18"/>
      <c r="X115" s="18"/>
      <c r="Y115" s="18"/>
      <c r="Z115" s="89"/>
      <c r="AA115" s="18"/>
      <c r="AB115" s="18"/>
      <c r="AC115" s="18"/>
      <c r="AD115" s="18"/>
      <c r="AE115" s="18"/>
      <c r="AF115" s="171"/>
      <c r="AG115" s="171"/>
    </row>
    <row r="116" spans="1:33" s="1" customFormat="1" ht="19.5" customHeight="1">
      <c r="A116" s="90"/>
      <c r="B116" s="88"/>
      <c r="C116" s="89"/>
      <c r="D116" s="18"/>
      <c r="E116" s="18"/>
      <c r="F116" s="18"/>
      <c r="G116" s="18"/>
      <c r="H116" s="89"/>
      <c r="I116" s="18"/>
      <c r="J116" s="18"/>
      <c r="K116" s="18"/>
      <c r="L116" s="89"/>
      <c r="M116" s="18"/>
      <c r="N116" s="18"/>
      <c r="O116" s="18"/>
      <c r="P116" s="18"/>
      <c r="Q116" s="18"/>
      <c r="R116" s="29"/>
      <c r="S116" s="18"/>
      <c r="T116" s="18"/>
      <c r="U116" s="18"/>
      <c r="V116" s="89"/>
      <c r="W116" s="18"/>
      <c r="X116" s="18"/>
      <c r="Y116" s="18"/>
      <c r="Z116" s="89"/>
      <c r="AA116" s="18"/>
      <c r="AB116" s="18"/>
      <c r="AC116" s="18"/>
      <c r="AD116" s="18"/>
      <c r="AE116" s="18"/>
      <c r="AF116" s="171"/>
      <c r="AG116" s="171"/>
    </row>
    <row r="117" spans="1:33" s="1" customFormat="1" ht="19.5" customHeight="1">
      <c r="A117" s="90"/>
      <c r="B117" s="88"/>
      <c r="C117" s="89"/>
      <c r="D117" s="18"/>
      <c r="E117" s="18"/>
      <c r="F117" s="18"/>
      <c r="G117" s="18"/>
      <c r="H117" s="89"/>
      <c r="I117" s="18"/>
      <c r="J117" s="18"/>
      <c r="K117" s="18"/>
      <c r="L117" s="89"/>
      <c r="M117" s="18"/>
      <c r="N117" s="18"/>
      <c r="O117" s="18"/>
      <c r="P117" s="18"/>
      <c r="Q117" s="18"/>
      <c r="R117" s="29"/>
      <c r="S117" s="18"/>
      <c r="T117" s="18"/>
      <c r="U117" s="18"/>
      <c r="V117" s="89"/>
      <c r="W117" s="18"/>
      <c r="X117" s="18"/>
      <c r="Y117" s="18"/>
      <c r="Z117" s="89"/>
      <c r="AA117" s="18"/>
      <c r="AB117" s="18"/>
      <c r="AC117" s="18"/>
      <c r="AD117" s="18"/>
      <c r="AE117" s="18"/>
      <c r="AF117" s="171"/>
      <c r="AG117" s="171"/>
    </row>
    <row r="118" spans="1:33" s="1" customFormat="1" ht="19.5" customHeight="1">
      <c r="A118" s="90"/>
      <c r="B118" s="88"/>
      <c r="C118" s="89"/>
      <c r="D118" s="18"/>
      <c r="E118" s="18"/>
      <c r="F118" s="18"/>
      <c r="G118" s="18"/>
      <c r="H118" s="89"/>
      <c r="I118" s="18"/>
      <c r="J118" s="18"/>
      <c r="K118" s="18"/>
      <c r="L118" s="89"/>
      <c r="M118" s="18"/>
      <c r="N118" s="18"/>
      <c r="O118" s="18"/>
      <c r="P118" s="18"/>
      <c r="Q118" s="18"/>
      <c r="R118" s="29"/>
      <c r="S118" s="18"/>
      <c r="T118" s="18"/>
      <c r="U118" s="18"/>
      <c r="V118" s="89"/>
      <c r="W118" s="18"/>
      <c r="X118" s="18"/>
      <c r="Y118" s="18"/>
      <c r="Z118" s="89"/>
      <c r="AA118" s="18"/>
      <c r="AB118" s="18"/>
      <c r="AC118" s="18"/>
      <c r="AD118" s="18"/>
      <c r="AE118" s="18"/>
      <c r="AF118" s="171"/>
      <c r="AG118" s="171"/>
    </row>
    <row r="119" spans="1:33" s="1" customFormat="1" ht="19.5" customHeight="1">
      <c r="A119" s="90"/>
      <c r="B119" s="88"/>
      <c r="C119" s="89"/>
      <c r="D119" s="18"/>
      <c r="E119" s="18"/>
      <c r="F119" s="18"/>
      <c r="G119" s="18"/>
      <c r="H119" s="89"/>
      <c r="I119" s="18"/>
      <c r="J119" s="18"/>
      <c r="K119" s="18"/>
      <c r="L119" s="89"/>
      <c r="M119" s="18"/>
      <c r="N119" s="18"/>
      <c r="O119" s="18"/>
      <c r="P119" s="18"/>
      <c r="Q119" s="18"/>
      <c r="R119" s="29"/>
      <c r="S119" s="18"/>
      <c r="T119" s="18"/>
      <c r="U119" s="18"/>
      <c r="V119" s="89"/>
      <c r="W119" s="18"/>
      <c r="X119" s="18"/>
      <c r="Y119" s="18"/>
      <c r="Z119" s="89"/>
      <c r="AA119" s="18"/>
      <c r="AB119" s="18"/>
      <c r="AC119" s="18"/>
      <c r="AD119" s="18"/>
      <c r="AE119" s="18"/>
      <c r="AF119" s="171"/>
      <c r="AG119" s="171"/>
    </row>
    <row r="120" spans="1:33" s="1" customFormat="1" ht="19.5" customHeight="1">
      <c r="A120" s="90"/>
      <c r="B120" s="88"/>
      <c r="C120" s="89"/>
      <c r="D120" s="18"/>
      <c r="E120" s="18"/>
      <c r="F120" s="18"/>
      <c r="G120" s="18"/>
      <c r="H120" s="89"/>
      <c r="I120" s="18"/>
      <c r="J120" s="18"/>
      <c r="K120" s="18"/>
      <c r="L120" s="89"/>
      <c r="M120" s="18"/>
      <c r="N120" s="18"/>
      <c r="O120" s="18"/>
      <c r="P120" s="18"/>
      <c r="Q120" s="18"/>
      <c r="R120" s="29"/>
      <c r="S120" s="18"/>
      <c r="T120" s="18"/>
      <c r="U120" s="18"/>
      <c r="V120" s="89"/>
      <c r="W120" s="18"/>
      <c r="X120" s="18"/>
      <c r="Y120" s="18"/>
      <c r="Z120" s="89"/>
      <c r="AA120" s="18"/>
      <c r="AB120" s="18"/>
      <c r="AC120" s="18"/>
      <c r="AD120" s="18"/>
      <c r="AE120" s="18"/>
      <c r="AF120" s="171"/>
      <c r="AG120" s="171"/>
    </row>
    <row r="121" spans="1:33" s="1" customFormat="1" ht="19.5" customHeight="1">
      <c r="A121" s="90"/>
      <c r="B121" s="88"/>
      <c r="C121" s="89"/>
      <c r="D121" s="18"/>
      <c r="E121" s="18"/>
      <c r="F121" s="18"/>
      <c r="G121" s="18"/>
      <c r="H121" s="89"/>
      <c r="I121" s="18"/>
      <c r="J121" s="18"/>
      <c r="K121" s="18"/>
      <c r="L121" s="89"/>
      <c r="M121" s="18"/>
      <c r="N121" s="18"/>
      <c r="O121" s="18"/>
      <c r="P121" s="18"/>
      <c r="Q121" s="18"/>
      <c r="R121" s="29"/>
      <c r="S121" s="18"/>
      <c r="T121" s="18"/>
      <c r="U121" s="18"/>
      <c r="V121" s="89"/>
      <c r="W121" s="18"/>
      <c r="X121" s="18"/>
      <c r="Y121" s="18"/>
      <c r="Z121" s="89"/>
      <c r="AA121" s="18"/>
      <c r="AB121" s="18"/>
      <c r="AC121" s="18"/>
      <c r="AD121" s="18"/>
      <c r="AE121" s="18"/>
      <c r="AF121" s="171"/>
      <c r="AG121" s="171"/>
    </row>
    <row r="122" spans="1:33" s="1" customFormat="1" ht="19.5" customHeight="1">
      <c r="A122" s="90"/>
      <c r="B122" s="88"/>
      <c r="C122" s="89"/>
      <c r="D122" s="18"/>
      <c r="E122" s="18"/>
      <c r="F122" s="18"/>
      <c r="G122" s="18"/>
      <c r="H122" s="89"/>
      <c r="I122" s="18"/>
      <c r="J122" s="18"/>
      <c r="K122" s="18"/>
      <c r="L122" s="89"/>
      <c r="M122" s="18"/>
      <c r="N122" s="18"/>
      <c r="O122" s="18"/>
      <c r="P122" s="18"/>
      <c r="Q122" s="18"/>
      <c r="R122" s="29"/>
      <c r="S122" s="18"/>
      <c r="T122" s="18"/>
      <c r="U122" s="18"/>
      <c r="V122" s="89"/>
      <c r="W122" s="18"/>
      <c r="X122" s="18"/>
      <c r="Y122" s="18"/>
      <c r="Z122" s="89"/>
      <c r="AA122" s="18"/>
      <c r="AB122" s="18"/>
      <c r="AC122" s="18"/>
      <c r="AD122" s="18"/>
      <c r="AE122" s="18"/>
      <c r="AF122" s="171"/>
      <c r="AG122" s="171"/>
    </row>
    <row r="123" spans="1:33" s="1" customFormat="1" ht="19.5" customHeight="1">
      <c r="A123" s="90"/>
      <c r="B123" s="88"/>
      <c r="C123" s="89"/>
      <c r="D123" s="18"/>
      <c r="E123" s="18"/>
      <c r="F123" s="18"/>
      <c r="G123" s="18"/>
      <c r="H123" s="89"/>
      <c r="I123" s="18"/>
      <c r="J123" s="18"/>
      <c r="K123" s="18"/>
      <c r="L123" s="89"/>
      <c r="M123" s="18"/>
      <c r="N123" s="18"/>
      <c r="O123" s="18"/>
      <c r="P123" s="18"/>
      <c r="Q123" s="18"/>
      <c r="R123" s="29"/>
      <c r="S123" s="18"/>
      <c r="T123" s="18"/>
      <c r="U123" s="18"/>
      <c r="V123" s="89"/>
      <c r="W123" s="18"/>
      <c r="X123" s="18"/>
      <c r="Y123" s="18"/>
      <c r="Z123" s="89"/>
      <c r="AA123" s="18"/>
      <c r="AB123" s="18"/>
      <c r="AC123" s="18"/>
      <c r="AD123" s="18"/>
      <c r="AE123" s="18"/>
      <c r="AF123" s="171"/>
      <c r="AG123" s="171"/>
    </row>
    <row r="124" spans="1:33" s="1" customFormat="1" ht="19.5" customHeight="1">
      <c r="A124" s="90"/>
      <c r="B124" s="88"/>
      <c r="C124" s="89"/>
      <c r="D124" s="18"/>
      <c r="E124" s="18"/>
      <c r="F124" s="18"/>
      <c r="G124" s="18"/>
      <c r="H124" s="89"/>
      <c r="I124" s="18"/>
      <c r="J124" s="18"/>
      <c r="K124" s="18"/>
      <c r="L124" s="89"/>
      <c r="M124" s="18"/>
      <c r="N124" s="18"/>
      <c r="O124" s="18"/>
      <c r="P124" s="18"/>
      <c r="Q124" s="18"/>
      <c r="R124" s="29"/>
      <c r="S124" s="18"/>
      <c r="T124" s="18"/>
      <c r="U124" s="18"/>
      <c r="V124" s="89"/>
      <c r="W124" s="18"/>
      <c r="X124" s="18"/>
      <c r="Y124" s="18"/>
      <c r="Z124" s="89"/>
      <c r="AA124" s="18"/>
      <c r="AB124" s="18"/>
      <c r="AC124" s="18"/>
      <c r="AD124" s="18"/>
      <c r="AE124" s="18"/>
      <c r="AF124" s="171"/>
      <c r="AG124" s="171"/>
    </row>
    <row r="125" spans="1:33" s="1" customFormat="1" ht="19.5" customHeight="1">
      <c r="A125" s="90"/>
      <c r="B125" s="88"/>
      <c r="C125" s="89"/>
      <c r="D125" s="18"/>
      <c r="E125" s="18"/>
      <c r="F125" s="18"/>
      <c r="G125" s="18"/>
      <c r="H125" s="89"/>
      <c r="I125" s="18"/>
      <c r="J125" s="18"/>
      <c r="K125" s="18"/>
      <c r="L125" s="89"/>
      <c r="M125" s="18"/>
      <c r="N125" s="18"/>
      <c r="O125" s="18"/>
      <c r="P125" s="18"/>
      <c r="Q125" s="18"/>
      <c r="R125" s="29"/>
      <c r="S125" s="18"/>
      <c r="T125" s="18"/>
      <c r="U125" s="18"/>
      <c r="V125" s="89"/>
      <c r="W125" s="18"/>
      <c r="X125" s="18"/>
      <c r="Y125" s="18"/>
      <c r="Z125" s="89"/>
      <c r="AA125" s="18"/>
      <c r="AB125" s="18"/>
      <c r="AC125" s="18"/>
      <c r="AD125" s="18"/>
      <c r="AE125" s="18"/>
      <c r="AF125" s="171"/>
      <c r="AG125" s="171"/>
    </row>
    <row r="126" spans="1:33" s="1" customFormat="1" ht="19.5" customHeight="1">
      <c r="A126" s="90"/>
      <c r="B126" s="88"/>
      <c r="C126" s="89"/>
      <c r="D126" s="18"/>
      <c r="E126" s="18"/>
      <c r="F126" s="18"/>
      <c r="G126" s="18"/>
      <c r="H126" s="89"/>
      <c r="I126" s="18"/>
      <c r="J126" s="18"/>
      <c r="K126" s="18"/>
      <c r="L126" s="89"/>
      <c r="M126" s="18"/>
      <c r="N126" s="18"/>
      <c r="O126" s="18"/>
      <c r="P126" s="18"/>
      <c r="Q126" s="18"/>
      <c r="R126" s="29"/>
      <c r="S126" s="18"/>
      <c r="T126" s="18"/>
      <c r="U126" s="18"/>
      <c r="V126" s="89"/>
      <c r="W126" s="18"/>
      <c r="X126" s="18"/>
      <c r="Y126" s="18"/>
      <c r="Z126" s="89"/>
      <c r="AA126" s="18"/>
      <c r="AB126" s="18"/>
      <c r="AC126" s="18"/>
      <c r="AD126" s="18"/>
      <c r="AE126" s="18"/>
      <c r="AF126" s="171"/>
      <c r="AG126" s="171"/>
    </row>
    <row r="127" spans="1:33" s="1" customFormat="1" ht="19.5" customHeight="1">
      <c r="A127" s="90"/>
      <c r="B127" s="88"/>
      <c r="C127" s="89"/>
      <c r="D127" s="18"/>
      <c r="E127" s="18"/>
      <c r="F127" s="18"/>
      <c r="G127" s="18"/>
      <c r="H127" s="89"/>
      <c r="I127" s="18"/>
      <c r="J127" s="18"/>
      <c r="K127" s="18"/>
      <c r="L127" s="89"/>
      <c r="M127" s="18"/>
      <c r="N127" s="18"/>
      <c r="O127" s="18"/>
      <c r="P127" s="18"/>
      <c r="Q127" s="18"/>
      <c r="R127" s="29"/>
      <c r="S127" s="18"/>
      <c r="T127" s="18"/>
      <c r="U127" s="18"/>
      <c r="V127" s="89"/>
      <c r="W127" s="18"/>
      <c r="X127" s="18"/>
      <c r="Y127" s="18"/>
      <c r="Z127" s="89"/>
      <c r="AA127" s="18"/>
      <c r="AB127" s="18"/>
      <c r="AC127" s="18"/>
      <c r="AD127" s="18"/>
      <c r="AE127" s="18"/>
      <c r="AF127" s="171"/>
      <c r="AG127" s="171"/>
    </row>
    <row r="128" spans="1:33" s="1" customFormat="1" ht="19.5" customHeight="1">
      <c r="A128" s="90"/>
      <c r="B128" s="88"/>
      <c r="C128" s="89"/>
      <c r="D128" s="18"/>
      <c r="E128" s="18"/>
      <c r="F128" s="18"/>
      <c r="G128" s="18"/>
      <c r="H128" s="89"/>
      <c r="I128" s="18"/>
      <c r="J128" s="18"/>
      <c r="K128" s="18"/>
      <c r="L128" s="89"/>
      <c r="M128" s="18"/>
      <c r="N128" s="18"/>
      <c r="O128" s="18"/>
      <c r="P128" s="18"/>
      <c r="Q128" s="18"/>
      <c r="R128" s="29"/>
      <c r="S128" s="18"/>
      <c r="T128" s="18"/>
      <c r="U128" s="18"/>
      <c r="V128" s="89"/>
      <c r="W128" s="18"/>
      <c r="X128" s="18"/>
      <c r="Y128" s="18"/>
      <c r="Z128" s="89"/>
      <c r="AA128" s="18"/>
      <c r="AB128" s="18"/>
      <c r="AC128" s="18"/>
      <c r="AD128" s="18"/>
      <c r="AE128" s="18"/>
      <c r="AF128" s="171"/>
      <c r="AG128" s="171"/>
    </row>
    <row r="129" spans="1:33" s="1" customFormat="1" ht="19.5" customHeight="1">
      <c r="A129" s="90"/>
      <c r="B129" s="88"/>
      <c r="C129" s="89"/>
      <c r="D129" s="18"/>
      <c r="E129" s="18"/>
      <c r="F129" s="18"/>
      <c r="G129" s="18"/>
      <c r="H129" s="89"/>
      <c r="I129" s="18"/>
      <c r="J129" s="18"/>
      <c r="K129" s="18"/>
      <c r="L129" s="89"/>
      <c r="M129" s="18"/>
      <c r="N129" s="18"/>
      <c r="O129" s="18"/>
      <c r="P129" s="18"/>
      <c r="Q129" s="18"/>
      <c r="R129" s="29"/>
      <c r="S129" s="18"/>
      <c r="T129" s="18"/>
      <c r="U129" s="18"/>
      <c r="V129" s="89"/>
      <c r="W129" s="18"/>
      <c r="X129" s="18"/>
      <c r="Y129" s="18"/>
      <c r="Z129" s="89"/>
      <c r="AA129" s="18"/>
      <c r="AB129" s="18"/>
      <c r="AC129" s="18"/>
      <c r="AD129" s="18"/>
      <c r="AE129" s="18"/>
      <c r="AF129" s="171"/>
      <c r="AG129" s="171"/>
    </row>
    <row r="130" spans="1:33" s="1" customFormat="1" ht="19.5" customHeight="1">
      <c r="A130" s="90"/>
      <c r="B130" s="88"/>
      <c r="C130" s="89"/>
      <c r="D130" s="18"/>
      <c r="E130" s="18"/>
      <c r="F130" s="18"/>
      <c r="G130" s="18"/>
      <c r="H130" s="89"/>
      <c r="I130" s="18"/>
      <c r="J130" s="18"/>
      <c r="K130" s="18"/>
      <c r="L130" s="89"/>
      <c r="M130" s="18"/>
      <c r="N130" s="18"/>
      <c r="O130" s="18"/>
      <c r="P130" s="18"/>
      <c r="Q130" s="18"/>
      <c r="R130" s="29"/>
      <c r="S130" s="18"/>
      <c r="T130" s="18"/>
      <c r="U130" s="18"/>
      <c r="V130" s="89"/>
      <c r="W130" s="18"/>
      <c r="X130" s="18"/>
      <c r="Y130" s="18"/>
      <c r="Z130" s="89"/>
      <c r="AA130" s="18"/>
      <c r="AB130" s="18"/>
      <c r="AC130" s="18"/>
      <c r="AD130" s="18"/>
      <c r="AE130" s="18"/>
      <c r="AF130" s="171"/>
      <c r="AG130" s="171"/>
    </row>
    <row r="131" spans="1:33" s="1" customFormat="1" ht="19.5" customHeight="1">
      <c r="A131" s="90"/>
      <c r="B131" s="88"/>
      <c r="C131" s="89"/>
      <c r="D131" s="18"/>
      <c r="E131" s="18"/>
      <c r="F131" s="18"/>
      <c r="G131" s="18"/>
      <c r="H131" s="89"/>
      <c r="I131" s="18"/>
      <c r="J131" s="18"/>
      <c r="K131" s="18"/>
      <c r="L131" s="89"/>
      <c r="M131" s="18"/>
      <c r="N131" s="18"/>
      <c r="O131" s="18"/>
      <c r="P131" s="18"/>
      <c r="Q131" s="18"/>
      <c r="R131" s="29"/>
      <c r="S131" s="18"/>
      <c r="T131" s="18"/>
      <c r="U131" s="18"/>
      <c r="V131" s="89"/>
      <c r="W131" s="18"/>
      <c r="X131" s="18"/>
      <c r="Y131" s="18"/>
      <c r="Z131" s="89"/>
      <c r="AA131" s="18"/>
      <c r="AB131" s="18"/>
      <c r="AC131" s="18"/>
      <c r="AD131" s="18"/>
      <c r="AE131" s="18"/>
      <c r="AF131" s="171"/>
      <c r="AG131" s="171"/>
    </row>
    <row r="132" spans="1:33" s="1" customFormat="1" ht="19.5" customHeight="1">
      <c r="A132" s="90"/>
      <c r="B132" s="88"/>
      <c r="C132" s="89"/>
      <c r="D132" s="18"/>
      <c r="E132" s="18"/>
      <c r="F132" s="18"/>
      <c r="G132" s="18"/>
      <c r="H132" s="89"/>
      <c r="I132" s="18"/>
      <c r="J132" s="18"/>
      <c r="K132" s="18"/>
      <c r="L132" s="89"/>
      <c r="M132" s="18"/>
      <c r="N132" s="18"/>
      <c r="O132" s="18"/>
      <c r="P132" s="18"/>
      <c r="Q132" s="18"/>
      <c r="R132" s="29"/>
      <c r="S132" s="18"/>
      <c r="T132" s="18"/>
      <c r="U132" s="18"/>
      <c r="V132" s="89"/>
      <c r="W132" s="18"/>
      <c r="X132" s="18"/>
      <c r="Y132" s="18"/>
      <c r="Z132" s="89"/>
      <c r="AA132" s="18"/>
      <c r="AB132" s="18"/>
      <c r="AC132" s="18"/>
      <c r="AD132" s="18"/>
      <c r="AE132" s="18"/>
      <c r="AF132" s="171"/>
      <c r="AG132" s="171"/>
    </row>
    <row r="133" spans="1:33" s="1" customFormat="1" ht="19.5" customHeight="1">
      <c r="A133" s="90"/>
      <c r="B133" s="88"/>
      <c r="C133" s="89"/>
      <c r="D133" s="18"/>
      <c r="E133" s="18"/>
      <c r="F133" s="18"/>
      <c r="G133" s="18"/>
      <c r="H133" s="89"/>
      <c r="I133" s="18"/>
      <c r="J133" s="18"/>
      <c r="K133" s="18"/>
      <c r="L133" s="89"/>
      <c r="M133" s="18"/>
      <c r="N133" s="18"/>
      <c r="O133" s="18"/>
      <c r="P133" s="18"/>
      <c r="Q133" s="18"/>
      <c r="R133" s="29"/>
      <c r="S133" s="18"/>
      <c r="T133" s="18"/>
      <c r="U133" s="18"/>
      <c r="V133" s="89"/>
      <c r="W133" s="18"/>
      <c r="X133" s="18"/>
      <c r="Y133" s="18"/>
      <c r="Z133" s="89"/>
      <c r="AA133" s="18"/>
      <c r="AB133" s="18"/>
      <c r="AC133" s="18"/>
      <c r="AD133" s="18"/>
      <c r="AE133" s="18"/>
      <c r="AF133" s="171"/>
      <c r="AG133" s="171"/>
    </row>
    <row r="134" spans="1:33" s="1" customFormat="1" ht="19.5" customHeight="1">
      <c r="A134" s="90"/>
      <c r="B134" s="88"/>
      <c r="C134" s="89"/>
      <c r="D134" s="18"/>
      <c r="E134" s="18"/>
      <c r="F134" s="18"/>
      <c r="G134" s="18"/>
      <c r="H134" s="89"/>
      <c r="I134" s="18"/>
      <c r="J134" s="18"/>
      <c r="K134" s="18"/>
      <c r="L134" s="89"/>
      <c r="M134" s="18"/>
      <c r="N134" s="18"/>
      <c r="O134" s="18"/>
      <c r="P134" s="18"/>
      <c r="Q134" s="18"/>
      <c r="R134" s="29"/>
      <c r="S134" s="18"/>
      <c r="T134" s="18"/>
      <c r="U134" s="18"/>
      <c r="V134" s="89"/>
      <c r="W134" s="18"/>
      <c r="X134" s="18"/>
      <c r="Y134" s="18"/>
      <c r="Z134" s="89"/>
      <c r="AA134" s="18"/>
      <c r="AB134" s="18"/>
      <c r="AC134" s="18"/>
      <c r="AD134" s="18"/>
      <c r="AE134" s="18"/>
      <c r="AF134" s="171"/>
      <c r="AG134" s="171"/>
    </row>
    <row r="135" spans="1:33" s="1" customFormat="1" ht="19.5" customHeight="1">
      <c r="A135" s="90"/>
      <c r="B135" s="88"/>
      <c r="C135" s="89"/>
      <c r="D135" s="18"/>
      <c r="E135" s="18"/>
      <c r="F135" s="18"/>
      <c r="G135" s="18"/>
      <c r="H135" s="89"/>
      <c r="I135" s="18"/>
      <c r="J135" s="18"/>
      <c r="K135" s="18"/>
      <c r="L135" s="89"/>
      <c r="M135" s="18"/>
      <c r="N135" s="18"/>
      <c r="O135" s="18"/>
      <c r="P135" s="18"/>
      <c r="Q135" s="18"/>
      <c r="R135" s="29"/>
      <c r="S135" s="18"/>
      <c r="T135" s="18"/>
      <c r="U135" s="18"/>
      <c r="V135" s="89"/>
      <c r="W135" s="18"/>
      <c r="X135" s="18"/>
      <c r="Y135" s="18"/>
      <c r="Z135" s="89"/>
      <c r="AA135" s="18"/>
      <c r="AB135" s="18"/>
      <c r="AC135" s="18"/>
      <c r="AD135" s="18"/>
      <c r="AE135" s="18"/>
      <c r="AF135" s="171"/>
      <c r="AG135" s="171"/>
    </row>
    <row r="136" spans="1:33" s="1" customFormat="1" ht="19.5" customHeight="1">
      <c r="A136" s="90"/>
      <c r="B136" s="88"/>
      <c r="C136" s="89"/>
      <c r="D136" s="18"/>
      <c r="E136" s="18"/>
      <c r="F136" s="18"/>
      <c r="G136" s="18"/>
      <c r="H136" s="89"/>
      <c r="I136" s="18"/>
      <c r="J136" s="18"/>
      <c r="K136" s="18"/>
      <c r="L136" s="89"/>
      <c r="M136" s="18"/>
      <c r="N136" s="18"/>
      <c r="O136" s="18"/>
      <c r="P136" s="18"/>
      <c r="Q136" s="18"/>
      <c r="R136" s="29"/>
      <c r="S136" s="18"/>
      <c r="T136" s="18"/>
      <c r="U136" s="18"/>
      <c r="V136" s="89"/>
      <c r="W136" s="18"/>
      <c r="X136" s="18"/>
      <c r="Y136" s="18"/>
      <c r="Z136" s="89"/>
      <c r="AA136" s="18"/>
      <c r="AB136" s="18"/>
      <c r="AC136" s="18"/>
      <c r="AD136" s="18"/>
      <c r="AE136" s="18"/>
      <c r="AF136" s="171"/>
      <c r="AG136" s="171"/>
    </row>
    <row r="137" spans="1:33" s="1" customFormat="1" ht="19.5" customHeight="1">
      <c r="A137" s="90"/>
      <c r="B137" s="88"/>
      <c r="C137" s="89"/>
      <c r="D137" s="18"/>
      <c r="E137" s="18"/>
      <c r="F137" s="18"/>
      <c r="G137" s="18"/>
      <c r="H137" s="89"/>
      <c r="I137" s="18"/>
      <c r="J137" s="18"/>
      <c r="K137" s="18"/>
      <c r="L137" s="89"/>
      <c r="M137" s="18"/>
      <c r="N137" s="18"/>
      <c r="O137" s="18"/>
      <c r="P137" s="18"/>
      <c r="Q137" s="18"/>
      <c r="R137" s="29"/>
      <c r="S137" s="18"/>
      <c r="T137" s="18"/>
      <c r="U137" s="18"/>
      <c r="V137" s="89"/>
      <c r="W137" s="18"/>
      <c r="X137" s="18"/>
      <c r="Y137" s="18"/>
      <c r="Z137" s="89"/>
      <c r="AA137" s="18"/>
      <c r="AB137" s="18"/>
      <c r="AC137" s="18"/>
      <c r="AD137" s="18"/>
      <c r="AE137" s="18"/>
      <c r="AF137" s="171"/>
      <c r="AG137" s="171"/>
    </row>
    <row r="138" spans="1:33" s="1" customFormat="1" ht="19.5" customHeight="1">
      <c r="A138" s="90"/>
      <c r="B138" s="88"/>
      <c r="C138" s="89"/>
      <c r="D138" s="18"/>
      <c r="E138" s="18"/>
      <c r="F138" s="18"/>
      <c r="G138" s="18"/>
      <c r="H138" s="89"/>
      <c r="I138" s="18"/>
      <c r="J138" s="18"/>
      <c r="K138" s="18"/>
      <c r="L138" s="89"/>
      <c r="M138" s="18"/>
      <c r="N138" s="18"/>
      <c r="O138" s="18"/>
      <c r="P138" s="18"/>
      <c r="Q138" s="18"/>
      <c r="R138" s="29"/>
      <c r="S138" s="18"/>
      <c r="T138" s="18"/>
      <c r="U138" s="18"/>
      <c r="V138" s="89"/>
      <c r="W138" s="18"/>
      <c r="X138" s="18"/>
      <c r="Y138" s="18"/>
      <c r="Z138" s="89"/>
      <c r="AA138" s="18"/>
      <c r="AB138" s="18"/>
      <c r="AC138" s="18"/>
      <c r="AD138" s="18"/>
      <c r="AE138" s="18"/>
      <c r="AF138" s="171"/>
      <c r="AG138" s="171"/>
    </row>
    <row r="139" spans="1:33" s="1" customFormat="1" ht="19.5" customHeight="1">
      <c r="A139" s="90"/>
      <c r="B139" s="88"/>
      <c r="C139" s="89"/>
      <c r="D139" s="18"/>
      <c r="E139" s="18"/>
      <c r="F139" s="18"/>
      <c r="G139" s="18"/>
      <c r="H139" s="89"/>
      <c r="I139" s="18"/>
      <c r="J139" s="18"/>
      <c r="K139" s="18"/>
      <c r="L139" s="89"/>
      <c r="M139" s="18"/>
      <c r="N139" s="18"/>
      <c r="O139" s="18"/>
      <c r="P139" s="18"/>
      <c r="Q139" s="18"/>
      <c r="R139" s="29"/>
      <c r="S139" s="18"/>
      <c r="T139" s="18"/>
      <c r="U139" s="18"/>
      <c r="V139" s="89"/>
      <c r="W139" s="18"/>
      <c r="X139" s="18"/>
      <c r="Y139" s="18"/>
      <c r="Z139" s="89"/>
      <c r="AA139" s="18"/>
      <c r="AB139" s="18"/>
      <c r="AC139" s="18"/>
      <c r="AD139" s="18"/>
      <c r="AE139" s="18"/>
      <c r="AF139" s="171"/>
      <c r="AG139" s="171"/>
    </row>
    <row r="140" spans="1:33" s="1" customFormat="1" ht="19.5" customHeight="1">
      <c r="A140" s="90"/>
      <c r="B140" s="88"/>
      <c r="C140" s="89"/>
      <c r="D140" s="18"/>
      <c r="E140" s="18"/>
      <c r="F140" s="18"/>
      <c r="G140" s="18"/>
      <c r="H140" s="89"/>
      <c r="I140" s="18"/>
      <c r="J140" s="18"/>
      <c r="K140" s="18"/>
      <c r="L140" s="89"/>
      <c r="M140" s="18"/>
      <c r="N140" s="18"/>
      <c r="O140" s="18"/>
      <c r="P140" s="18"/>
      <c r="Q140" s="18"/>
      <c r="R140" s="29"/>
      <c r="S140" s="18"/>
      <c r="T140" s="18"/>
      <c r="U140" s="18"/>
      <c r="V140" s="89"/>
      <c r="W140" s="18"/>
      <c r="X140" s="18"/>
      <c r="Y140" s="18"/>
      <c r="Z140" s="89"/>
      <c r="AA140" s="18"/>
      <c r="AB140" s="18"/>
      <c r="AC140" s="18"/>
      <c r="AD140" s="18"/>
      <c r="AE140" s="18"/>
      <c r="AF140" s="171"/>
      <c r="AG140" s="171"/>
    </row>
    <row r="141" spans="1:33" s="1" customFormat="1" ht="19.5" customHeight="1">
      <c r="A141" s="90"/>
      <c r="B141" s="88"/>
      <c r="C141" s="89"/>
      <c r="D141" s="18"/>
      <c r="E141" s="18"/>
      <c r="F141" s="18"/>
      <c r="G141" s="18"/>
      <c r="H141" s="89"/>
      <c r="I141" s="18"/>
      <c r="J141" s="18"/>
      <c r="K141" s="18"/>
      <c r="L141" s="89"/>
      <c r="M141" s="18"/>
      <c r="N141" s="18"/>
      <c r="O141" s="18"/>
      <c r="P141" s="18"/>
      <c r="Q141" s="18"/>
      <c r="R141" s="29"/>
      <c r="S141" s="18"/>
      <c r="T141" s="18"/>
      <c r="U141" s="18"/>
      <c r="V141" s="89"/>
      <c r="W141" s="18"/>
      <c r="X141" s="18"/>
      <c r="Y141" s="18"/>
      <c r="Z141" s="89"/>
      <c r="AA141" s="18"/>
      <c r="AB141" s="18"/>
      <c r="AC141" s="18"/>
      <c r="AD141" s="18"/>
      <c r="AE141" s="18"/>
      <c r="AF141" s="171"/>
      <c r="AG141" s="171"/>
    </row>
    <row r="142" spans="1:33" s="1" customFormat="1" ht="19.5" customHeight="1">
      <c r="A142" s="90"/>
      <c r="B142" s="88"/>
      <c r="C142" s="89"/>
      <c r="D142" s="18"/>
      <c r="E142" s="18"/>
      <c r="F142" s="18"/>
      <c r="G142" s="18"/>
      <c r="H142" s="89"/>
      <c r="I142" s="18"/>
      <c r="J142" s="18"/>
      <c r="K142" s="18"/>
      <c r="L142" s="89"/>
      <c r="M142" s="18"/>
      <c r="N142" s="18"/>
      <c r="O142" s="18"/>
      <c r="P142" s="18"/>
      <c r="Q142" s="18"/>
      <c r="R142" s="29"/>
      <c r="S142" s="18"/>
      <c r="T142" s="18"/>
      <c r="U142" s="18"/>
      <c r="V142" s="89"/>
      <c r="W142" s="18"/>
      <c r="X142" s="18"/>
      <c r="Y142" s="18"/>
      <c r="Z142" s="89"/>
      <c r="AA142" s="18"/>
      <c r="AB142" s="18"/>
      <c r="AC142" s="18"/>
      <c r="AD142" s="18"/>
      <c r="AE142" s="18"/>
      <c r="AF142" s="171"/>
      <c r="AG142" s="171"/>
    </row>
    <row r="143" spans="1:33" s="1" customFormat="1" ht="19.5" customHeight="1">
      <c r="A143" s="90"/>
      <c r="B143" s="88"/>
      <c r="C143" s="89"/>
      <c r="D143" s="18"/>
      <c r="E143" s="18"/>
      <c r="F143" s="18"/>
      <c r="G143" s="18"/>
      <c r="H143" s="89"/>
      <c r="I143" s="18"/>
      <c r="J143" s="18"/>
      <c r="K143" s="18"/>
      <c r="L143" s="89"/>
      <c r="M143" s="18"/>
      <c r="N143" s="18"/>
      <c r="O143" s="18"/>
      <c r="P143" s="18"/>
      <c r="Q143" s="18"/>
      <c r="R143" s="29"/>
      <c r="S143" s="18"/>
      <c r="T143" s="18"/>
      <c r="U143" s="18"/>
      <c r="V143" s="89"/>
      <c r="W143" s="18"/>
      <c r="X143" s="18"/>
      <c r="Y143" s="18"/>
      <c r="Z143" s="89"/>
      <c r="AA143" s="18"/>
      <c r="AB143" s="18"/>
      <c r="AC143" s="18"/>
      <c r="AD143" s="18"/>
      <c r="AE143" s="18"/>
      <c r="AF143" s="171"/>
      <c r="AG143" s="171"/>
    </row>
    <row r="144" spans="1:33" s="1" customFormat="1" ht="19.5" customHeight="1">
      <c r="A144" s="90"/>
      <c r="B144" s="88"/>
      <c r="C144" s="89"/>
      <c r="D144" s="18"/>
      <c r="E144" s="18"/>
      <c r="F144" s="18"/>
      <c r="G144" s="18"/>
      <c r="H144" s="89"/>
      <c r="I144" s="18"/>
      <c r="J144" s="18"/>
      <c r="K144" s="18"/>
      <c r="L144" s="89"/>
      <c r="M144" s="18"/>
      <c r="N144" s="18"/>
      <c r="O144" s="18"/>
      <c r="P144" s="18"/>
      <c r="Q144" s="18"/>
      <c r="R144" s="29"/>
      <c r="S144" s="18"/>
      <c r="T144" s="18"/>
      <c r="U144" s="18"/>
      <c r="V144" s="89"/>
      <c r="W144" s="18"/>
      <c r="X144" s="18"/>
      <c r="Y144" s="18"/>
      <c r="Z144" s="89"/>
      <c r="AA144" s="18"/>
      <c r="AB144" s="18"/>
      <c r="AC144" s="18"/>
      <c r="AD144" s="18"/>
      <c r="AE144" s="18"/>
      <c r="AF144" s="171"/>
      <c r="AG144" s="171"/>
    </row>
    <row r="145" spans="1:33" s="1" customFormat="1" ht="19.5" customHeight="1">
      <c r="A145" s="90"/>
      <c r="B145" s="88"/>
      <c r="C145" s="89"/>
      <c r="D145" s="18"/>
      <c r="E145" s="18"/>
      <c r="F145" s="18"/>
      <c r="G145" s="18"/>
      <c r="H145" s="89"/>
      <c r="I145" s="18"/>
      <c r="J145" s="18"/>
      <c r="K145" s="18"/>
      <c r="L145" s="89"/>
      <c r="M145" s="18"/>
      <c r="N145" s="18"/>
      <c r="O145" s="18"/>
      <c r="P145" s="18"/>
      <c r="Q145" s="18"/>
      <c r="R145" s="29"/>
      <c r="S145" s="18"/>
      <c r="T145" s="18"/>
      <c r="U145" s="18"/>
      <c r="V145" s="89"/>
      <c r="W145" s="18"/>
      <c r="X145" s="18"/>
      <c r="Y145" s="18"/>
      <c r="Z145" s="89"/>
      <c r="AA145" s="18"/>
      <c r="AB145" s="18"/>
      <c r="AC145" s="18"/>
      <c r="AD145" s="18"/>
      <c r="AE145" s="18"/>
      <c r="AF145" s="171"/>
      <c r="AG145" s="171"/>
    </row>
    <row r="146" spans="1:33" s="1" customFormat="1" ht="19.5" customHeight="1">
      <c r="A146" s="90"/>
      <c r="B146" s="88"/>
      <c r="C146" s="89"/>
      <c r="D146" s="18"/>
      <c r="E146" s="18"/>
      <c r="F146" s="18"/>
      <c r="G146" s="18"/>
      <c r="H146" s="89"/>
      <c r="I146" s="18"/>
      <c r="J146" s="18"/>
      <c r="K146" s="18"/>
      <c r="L146" s="89"/>
      <c r="M146" s="18"/>
      <c r="N146" s="18"/>
      <c r="O146" s="18"/>
      <c r="P146" s="18"/>
      <c r="Q146" s="18"/>
      <c r="R146" s="29"/>
      <c r="S146" s="18"/>
      <c r="T146" s="18"/>
      <c r="U146" s="18"/>
      <c r="V146" s="89"/>
      <c r="W146" s="18"/>
      <c r="X146" s="18"/>
      <c r="Y146" s="18"/>
      <c r="Z146" s="89"/>
      <c r="AA146" s="18"/>
      <c r="AB146" s="18"/>
      <c r="AC146" s="18"/>
      <c r="AD146" s="18"/>
      <c r="AE146" s="18"/>
      <c r="AF146" s="171"/>
      <c r="AG146" s="171"/>
    </row>
    <row r="147" spans="1:33" s="1" customFormat="1" ht="19.5" customHeight="1">
      <c r="A147" s="90"/>
      <c r="B147" s="88"/>
      <c r="C147" s="89"/>
      <c r="D147" s="18"/>
      <c r="E147" s="18"/>
      <c r="F147" s="18"/>
      <c r="G147" s="18"/>
      <c r="H147" s="89"/>
      <c r="I147" s="18"/>
      <c r="J147" s="18"/>
      <c r="K147" s="18"/>
      <c r="L147" s="89"/>
      <c r="M147" s="18"/>
      <c r="N147" s="18"/>
      <c r="O147" s="18"/>
      <c r="P147" s="18"/>
      <c r="Q147" s="18"/>
      <c r="R147" s="29"/>
      <c r="S147" s="18"/>
      <c r="T147" s="18"/>
      <c r="U147" s="18"/>
      <c r="V147" s="89"/>
      <c r="W147" s="18"/>
      <c r="X147" s="18"/>
      <c r="Y147" s="18"/>
      <c r="Z147" s="89"/>
      <c r="AA147" s="18"/>
      <c r="AB147" s="18"/>
      <c r="AC147" s="18"/>
      <c r="AD147" s="18"/>
      <c r="AE147" s="18"/>
      <c r="AF147" s="171"/>
      <c r="AG147" s="171"/>
    </row>
    <row r="148" spans="1:33" s="1" customFormat="1" ht="19.5" customHeight="1">
      <c r="A148" s="90"/>
      <c r="B148" s="88"/>
      <c r="C148" s="89"/>
      <c r="D148" s="18"/>
      <c r="E148" s="18"/>
      <c r="F148" s="18"/>
      <c r="G148" s="18"/>
      <c r="H148" s="89"/>
      <c r="I148" s="18"/>
      <c r="J148" s="18"/>
      <c r="K148" s="18"/>
      <c r="L148" s="89"/>
      <c r="M148" s="18"/>
      <c r="N148" s="18"/>
      <c r="O148" s="18"/>
      <c r="P148" s="18"/>
      <c r="Q148" s="18"/>
      <c r="R148" s="29"/>
      <c r="S148" s="18"/>
      <c r="T148" s="18"/>
      <c r="U148" s="18"/>
      <c r="V148" s="89"/>
      <c r="W148" s="18"/>
      <c r="X148" s="18"/>
      <c r="Y148" s="18"/>
      <c r="Z148" s="89"/>
      <c r="AA148" s="18"/>
      <c r="AB148" s="18"/>
      <c r="AC148" s="18"/>
      <c r="AD148" s="18"/>
      <c r="AE148" s="18"/>
      <c r="AF148" s="171"/>
      <c r="AG148" s="171"/>
    </row>
    <row r="149" spans="1:33" s="1" customFormat="1" ht="19.5" customHeight="1">
      <c r="A149" s="90"/>
      <c r="B149" s="88"/>
      <c r="C149" s="89"/>
      <c r="D149" s="18"/>
      <c r="E149" s="18"/>
      <c r="F149" s="18"/>
      <c r="G149" s="18"/>
      <c r="H149" s="89"/>
      <c r="I149" s="18"/>
      <c r="J149" s="18"/>
      <c r="K149" s="18"/>
      <c r="L149" s="89"/>
      <c r="M149" s="18"/>
      <c r="N149" s="18"/>
      <c r="O149" s="18"/>
      <c r="P149" s="18"/>
      <c r="Q149" s="18"/>
      <c r="R149" s="29"/>
      <c r="S149" s="18"/>
      <c r="T149" s="18"/>
      <c r="U149" s="18"/>
      <c r="V149" s="89"/>
      <c r="W149" s="18"/>
      <c r="X149" s="18"/>
      <c r="Y149" s="18"/>
      <c r="Z149" s="89"/>
      <c r="AA149" s="18"/>
      <c r="AB149" s="18"/>
      <c r="AC149" s="18"/>
      <c r="AD149" s="18"/>
      <c r="AE149" s="18"/>
      <c r="AF149" s="171"/>
      <c r="AG149" s="171"/>
    </row>
    <row r="150" spans="1:33" s="1" customFormat="1" ht="19.5" customHeight="1">
      <c r="A150" s="90"/>
      <c r="B150" s="88"/>
      <c r="C150" s="89"/>
      <c r="D150" s="18"/>
      <c r="E150" s="18"/>
      <c r="F150" s="18"/>
      <c r="G150" s="18"/>
      <c r="H150" s="89"/>
      <c r="I150" s="18"/>
      <c r="J150" s="18"/>
      <c r="K150" s="18"/>
      <c r="L150" s="89"/>
      <c r="M150" s="18"/>
      <c r="N150" s="18"/>
      <c r="O150" s="18"/>
      <c r="P150" s="18"/>
      <c r="Q150" s="18"/>
      <c r="R150" s="29"/>
      <c r="S150" s="18"/>
      <c r="T150" s="18"/>
      <c r="U150" s="18"/>
      <c r="V150" s="89"/>
      <c r="W150" s="18"/>
      <c r="X150" s="18"/>
      <c r="Y150" s="18"/>
      <c r="Z150" s="89"/>
      <c r="AA150" s="18"/>
      <c r="AB150" s="18"/>
      <c r="AC150" s="18"/>
      <c r="AD150" s="18"/>
      <c r="AE150" s="18"/>
      <c r="AF150" s="171"/>
      <c r="AG150" s="171"/>
    </row>
    <row r="151" spans="1:33" s="1" customFormat="1" ht="19.5" customHeight="1">
      <c r="A151" s="90"/>
      <c r="B151" s="88"/>
      <c r="C151" s="89"/>
      <c r="D151" s="18"/>
      <c r="E151" s="18"/>
      <c r="F151" s="18"/>
      <c r="G151" s="18"/>
      <c r="H151" s="89"/>
      <c r="I151" s="18"/>
      <c r="J151" s="18"/>
      <c r="K151" s="18"/>
      <c r="L151" s="89"/>
      <c r="M151" s="18"/>
      <c r="N151" s="18"/>
      <c r="O151" s="18"/>
      <c r="P151" s="18"/>
      <c r="Q151" s="18"/>
      <c r="R151" s="29"/>
      <c r="S151" s="18"/>
      <c r="T151" s="18"/>
      <c r="U151" s="18"/>
      <c r="V151" s="89"/>
      <c r="W151" s="18"/>
      <c r="X151" s="18"/>
      <c r="Y151" s="18"/>
      <c r="Z151" s="89"/>
      <c r="AA151" s="18"/>
      <c r="AB151" s="18"/>
      <c r="AC151" s="18"/>
      <c r="AD151" s="18"/>
      <c r="AE151" s="18"/>
      <c r="AF151" s="171"/>
      <c r="AG151" s="171"/>
    </row>
    <row r="152" spans="1:33" s="1" customFormat="1" ht="19.5" customHeight="1">
      <c r="A152" s="90"/>
      <c r="B152" s="88"/>
      <c r="C152" s="89"/>
      <c r="D152" s="18"/>
      <c r="E152" s="18"/>
      <c r="F152" s="18"/>
      <c r="G152" s="18"/>
      <c r="H152" s="89"/>
      <c r="I152" s="18"/>
      <c r="J152" s="18"/>
      <c r="K152" s="18"/>
      <c r="L152" s="89"/>
      <c r="M152" s="18"/>
      <c r="N152" s="18"/>
      <c r="O152" s="18"/>
      <c r="P152" s="18"/>
      <c r="Q152" s="18"/>
      <c r="R152" s="29"/>
      <c r="S152" s="18"/>
      <c r="T152" s="18"/>
      <c r="U152" s="18"/>
      <c r="V152" s="89"/>
      <c r="W152" s="18"/>
      <c r="X152" s="18"/>
      <c r="Y152" s="18"/>
      <c r="Z152" s="89"/>
      <c r="AA152" s="18"/>
      <c r="AB152" s="18"/>
      <c r="AC152" s="18"/>
      <c r="AD152" s="18"/>
      <c r="AE152" s="18"/>
      <c r="AF152" s="171"/>
      <c r="AG152" s="171"/>
    </row>
    <row r="153" spans="1:33" s="1" customFormat="1" ht="19.5" customHeight="1">
      <c r="A153" s="90"/>
      <c r="B153" s="88"/>
      <c r="C153" s="89"/>
      <c r="D153" s="18"/>
      <c r="E153" s="18"/>
      <c r="F153" s="18"/>
      <c r="G153" s="18"/>
      <c r="H153" s="89"/>
      <c r="I153" s="18"/>
      <c r="J153" s="18"/>
      <c r="K153" s="18"/>
      <c r="L153" s="89"/>
      <c r="M153" s="18"/>
      <c r="N153" s="18"/>
      <c r="O153" s="18"/>
      <c r="P153" s="18"/>
      <c r="Q153" s="18"/>
      <c r="R153" s="29"/>
      <c r="S153" s="18"/>
      <c r="T153" s="18"/>
      <c r="U153" s="18"/>
      <c r="V153" s="89"/>
      <c r="W153" s="18"/>
      <c r="X153" s="18"/>
      <c r="Y153" s="18"/>
      <c r="Z153" s="89"/>
      <c r="AA153" s="18"/>
      <c r="AB153" s="18"/>
      <c r="AC153" s="18"/>
      <c r="AD153" s="18"/>
      <c r="AE153" s="18"/>
      <c r="AF153" s="171"/>
      <c r="AG153" s="171"/>
    </row>
    <row r="154" spans="1:33" s="1" customFormat="1" ht="19.5" customHeight="1">
      <c r="A154" s="90"/>
      <c r="B154" s="88"/>
      <c r="C154" s="89"/>
      <c r="D154" s="18"/>
      <c r="E154" s="18"/>
      <c r="F154" s="18"/>
      <c r="G154" s="18"/>
      <c r="H154" s="89"/>
      <c r="I154" s="18"/>
      <c r="J154" s="18"/>
      <c r="K154" s="18"/>
      <c r="L154" s="89"/>
      <c r="M154" s="18"/>
      <c r="N154" s="18"/>
      <c r="O154" s="18"/>
      <c r="P154" s="18"/>
      <c r="Q154" s="18"/>
      <c r="R154" s="29"/>
      <c r="S154" s="18"/>
      <c r="T154" s="18"/>
      <c r="U154" s="18"/>
      <c r="V154" s="89"/>
      <c r="W154" s="18"/>
      <c r="X154" s="18"/>
      <c r="Y154" s="18"/>
      <c r="Z154" s="89"/>
      <c r="AA154" s="18"/>
      <c r="AB154" s="18"/>
      <c r="AC154" s="18"/>
      <c r="AD154" s="18"/>
      <c r="AE154" s="18"/>
      <c r="AF154" s="171"/>
      <c r="AG154" s="171"/>
    </row>
    <row r="155" spans="1:33" s="1" customFormat="1" ht="19.5" customHeight="1">
      <c r="A155" s="90"/>
      <c r="B155" s="88"/>
      <c r="C155" s="89"/>
      <c r="D155" s="18"/>
      <c r="E155" s="18"/>
      <c r="F155" s="18"/>
      <c r="G155" s="18"/>
      <c r="H155" s="89"/>
      <c r="I155" s="18"/>
      <c r="J155" s="18"/>
      <c r="K155" s="18"/>
      <c r="L155" s="89"/>
      <c r="M155" s="18"/>
      <c r="N155" s="18"/>
      <c r="O155" s="18"/>
      <c r="P155" s="18"/>
      <c r="Q155" s="18"/>
      <c r="R155" s="29"/>
      <c r="S155" s="18"/>
      <c r="T155" s="18"/>
      <c r="U155" s="18"/>
      <c r="V155" s="89"/>
      <c r="W155" s="18"/>
      <c r="X155" s="18"/>
      <c r="Y155" s="18"/>
      <c r="Z155" s="89"/>
      <c r="AA155" s="18"/>
      <c r="AB155" s="18"/>
      <c r="AC155" s="18"/>
      <c r="AD155" s="18"/>
      <c r="AE155" s="18"/>
      <c r="AF155" s="171"/>
      <c r="AG155" s="171"/>
    </row>
    <row r="156" spans="1:33" s="1" customFormat="1" ht="19.5" customHeight="1">
      <c r="A156" s="90"/>
      <c r="B156" s="88"/>
      <c r="C156" s="89"/>
      <c r="D156" s="18"/>
      <c r="E156" s="18"/>
      <c r="F156" s="18"/>
      <c r="G156" s="18"/>
      <c r="H156" s="89"/>
      <c r="I156" s="18"/>
      <c r="J156" s="18"/>
      <c r="K156" s="18"/>
      <c r="L156" s="89"/>
      <c r="M156" s="18"/>
      <c r="N156" s="18"/>
      <c r="O156" s="18"/>
      <c r="P156" s="18"/>
      <c r="Q156" s="18"/>
      <c r="R156" s="29"/>
      <c r="S156" s="18"/>
      <c r="T156" s="18"/>
      <c r="U156" s="18"/>
      <c r="V156" s="89"/>
      <c r="W156" s="18"/>
      <c r="X156" s="18"/>
      <c r="Y156" s="18"/>
      <c r="Z156" s="89"/>
      <c r="AA156" s="18"/>
      <c r="AB156" s="18"/>
      <c r="AC156" s="18"/>
      <c r="AD156" s="18"/>
      <c r="AE156" s="18"/>
      <c r="AF156" s="171"/>
      <c r="AG156" s="171"/>
    </row>
    <row r="157" spans="1:33" s="1" customFormat="1" ht="19.5" customHeight="1">
      <c r="A157" s="90"/>
      <c r="B157" s="88"/>
      <c r="C157" s="89"/>
      <c r="D157" s="18"/>
      <c r="E157" s="18"/>
      <c r="F157" s="18"/>
      <c r="G157" s="18"/>
      <c r="H157" s="89"/>
      <c r="I157" s="18"/>
      <c r="J157" s="18"/>
      <c r="K157" s="18"/>
      <c r="L157" s="89"/>
      <c r="M157" s="18"/>
      <c r="N157" s="18"/>
      <c r="O157" s="18"/>
      <c r="P157" s="18"/>
      <c r="Q157" s="18"/>
      <c r="R157" s="29"/>
      <c r="S157" s="18"/>
      <c r="T157" s="18"/>
      <c r="U157" s="18"/>
      <c r="V157" s="89"/>
      <c r="W157" s="18"/>
      <c r="X157" s="18"/>
      <c r="Y157" s="18"/>
      <c r="Z157" s="89"/>
      <c r="AA157" s="18"/>
      <c r="AB157" s="18"/>
      <c r="AC157" s="18"/>
      <c r="AD157" s="18"/>
      <c r="AE157" s="18"/>
      <c r="AF157" s="171"/>
      <c r="AG157" s="171"/>
    </row>
    <row r="158" spans="1:33" s="1" customFormat="1" ht="19.5" customHeight="1">
      <c r="A158" s="90"/>
      <c r="B158" s="88"/>
      <c r="C158" s="89"/>
      <c r="D158" s="18"/>
      <c r="E158" s="18"/>
      <c r="F158" s="18"/>
      <c r="G158" s="18"/>
      <c r="H158" s="89"/>
      <c r="I158" s="18"/>
      <c r="J158" s="18"/>
      <c r="K158" s="18"/>
      <c r="L158" s="89"/>
      <c r="M158" s="18"/>
      <c r="N158" s="18"/>
      <c r="O158" s="18"/>
      <c r="P158" s="18"/>
      <c r="Q158" s="18"/>
      <c r="R158" s="29"/>
      <c r="S158" s="18"/>
      <c r="T158" s="18"/>
      <c r="U158" s="18"/>
      <c r="V158" s="89"/>
      <c r="W158" s="18"/>
      <c r="X158" s="18"/>
      <c r="Y158" s="18"/>
      <c r="Z158" s="89"/>
      <c r="AA158" s="18"/>
      <c r="AB158" s="18"/>
      <c r="AC158" s="18"/>
      <c r="AD158" s="18"/>
      <c r="AE158" s="18"/>
      <c r="AF158" s="171"/>
      <c r="AG158" s="171"/>
    </row>
    <row r="159" spans="1:33" s="1" customFormat="1" ht="19.5" customHeight="1">
      <c r="A159" s="90"/>
      <c r="B159" s="88"/>
      <c r="C159" s="89"/>
      <c r="D159" s="18"/>
      <c r="E159" s="18"/>
      <c r="F159" s="18"/>
      <c r="G159" s="18"/>
      <c r="H159" s="89"/>
      <c r="I159" s="18"/>
      <c r="J159" s="18"/>
      <c r="K159" s="18"/>
      <c r="L159" s="89"/>
      <c r="M159" s="18"/>
      <c r="N159" s="18"/>
      <c r="O159" s="18"/>
      <c r="P159" s="18"/>
      <c r="Q159" s="18"/>
      <c r="R159" s="29"/>
      <c r="S159" s="18"/>
      <c r="T159" s="18"/>
      <c r="U159" s="18"/>
      <c r="V159" s="89"/>
      <c r="W159" s="18"/>
      <c r="X159" s="18"/>
      <c r="Y159" s="18"/>
      <c r="Z159" s="89"/>
      <c r="AA159" s="18"/>
      <c r="AB159" s="18"/>
      <c r="AC159" s="18"/>
      <c r="AD159" s="18"/>
      <c r="AE159" s="18"/>
      <c r="AF159" s="171"/>
      <c r="AG159" s="171"/>
    </row>
    <row r="160" spans="1:33" s="1" customFormat="1" ht="19.5" customHeight="1">
      <c r="A160" s="90"/>
      <c r="B160" s="88"/>
      <c r="C160" s="89"/>
      <c r="D160" s="18"/>
      <c r="E160" s="18"/>
      <c r="F160" s="18"/>
      <c r="G160" s="18"/>
      <c r="H160" s="89"/>
      <c r="I160" s="18"/>
      <c r="J160" s="18"/>
      <c r="K160" s="18"/>
      <c r="L160" s="89"/>
      <c r="M160" s="18"/>
      <c r="N160" s="18"/>
      <c r="O160" s="18"/>
      <c r="P160" s="18"/>
      <c r="Q160" s="18"/>
      <c r="R160" s="29"/>
      <c r="S160" s="18"/>
      <c r="T160" s="18"/>
      <c r="U160" s="18"/>
      <c r="V160" s="89"/>
      <c r="W160" s="18"/>
      <c r="X160" s="18"/>
      <c r="Y160" s="18"/>
      <c r="Z160" s="89"/>
      <c r="AA160" s="18"/>
      <c r="AB160" s="18"/>
      <c r="AC160" s="18"/>
      <c r="AD160" s="18"/>
      <c r="AE160" s="18"/>
      <c r="AF160" s="171"/>
      <c r="AG160" s="171"/>
    </row>
    <row r="161" spans="1:33" s="1" customFormat="1" ht="19.5" customHeight="1">
      <c r="A161" s="90"/>
      <c r="B161" s="88"/>
      <c r="C161" s="89"/>
      <c r="D161" s="18"/>
      <c r="E161" s="18"/>
      <c r="F161" s="18"/>
      <c r="G161" s="18"/>
      <c r="H161" s="89"/>
      <c r="I161" s="18"/>
      <c r="J161" s="18"/>
      <c r="K161" s="18"/>
      <c r="L161" s="89"/>
      <c r="M161" s="18"/>
      <c r="N161" s="18"/>
      <c r="O161" s="18"/>
      <c r="P161" s="18"/>
      <c r="Q161" s="18"/>
      <c r="R161" s="29"/>
      <c r="S161" s="18"/>
      <c r="T161" s="18"/>
      <c r="U161" s="18"/>
      <c r="V161" s="89"/>
      <c r="W161" s="18"/>
      <c r="X161" s="18"/>
      <c r="Y161" s="18"/>
      <c r="Z161" s="89"/>
      <c r="AA161" s="18"/>
      <c r="AB161" s="18"/>
      <c r="AC161" s="18"/>
      <c r="AD161" s="18"/>
      <c r="AE161" s="18"/>
      <c r="AF161" s="171"/>
      <c r="AG161" s="171"/>
    </row>
    <row r="162" spans="1:33" s="1" customFormat="1" ht="19.5" customHeight="1">
      <c r="A162" s="90"/>
      <c r="B162" s="88"/>
      <c r="C162" s="89"/>
      <c r="D162" s="18"/>
      <c r="E162" s="18"/>
      <c r="F162" s="18"/>
      <c r="G162" s="18"/>
      <c r="H162" s="89"/>
      <c r="I162" s="18"/>
      <c r="J162" s="18"/>
      <c r="K162" s="18"/>
      <c r="L162" s="89"/>
      <c r="M162" s="18"/>
      <c r="N162" s="18"/>
      <c r="O162" s="18"/>
      <c r="P162" s="18"/>
      <c r="Q162" s="18"/>
      <c r="R162" s="29"/>
      <c r="S162" s="18"/>
      <c r="T162" s="18"/>
      <c r="U162" s="18"/>
      <c r="V162" s="89"/>
      <c r="W162" s="18"/>
      <c r="X162" s="18"/>
      <c r="Y162" s="18"/>
      <c r="Z162" s="89"/>
      <c r="AA162" s="18"/>
      <c r="AB162" s="18"/>
      <c r="AC162" s="18"/>
      <c r="AD162" s="18"/>
      <c r="AE162" s="18"/>
      <c r="AF162" s="171"/>
      <c r="AG162" s="171"/>
    </row>
    <row r="163" spans="1:33" s="1" customFormat="1" ht="19.5" customHeight="1">
      <c r="A163" s="90"/>
      <c r="B163" s="88"/>
      <c r="C163" s="89"/>
      <c r="D163" s="18"/>
      <c r="E163" s="18"/>
      <c r="F163" s="18"/>
      <c r="G163" s="18"/>
      <c r="H163" s="89"/>
      <c r="I163" s="18"/>
      <c r="J163" s="18"/>
      <c r="K163" s="18"/>
      <c r="L163" s="89"/>
      <c r="M163" s="18"/>
      <c r="N163" s="18"/>
      <c r="O163" s="18"/>
      <c r="P163" s="18"/>
      <c r="Q163" s="18"/>
      <c r="R163" s="29"/>
      <c r="S163" s="18"/>
      <c r="T163" s="18"/>
      <c r="U163" s="18"/>
      <c r="V163" s="89"/>
      <c r="W163" s="18"/>
      <c r="X163" s="18"/>
      <c r="Y163" s="18"/>
      <c r="Z163" s="89"/>
      <c r="AA163" s="18"/>
      <c r="AB163" s="18"/>
      <c r="AC163" s="18"/>
      <c r="AD163" s="18"/>
      <c r="AE163" s="18"/>
      <c r="AF163" s="171"/>
      <c r="AG163" s="171"/>
    </row>
    <row r="164" spans="1:33" s="1" customFormat="1" ht="19.5" customHeight="1">
      <c r="A164" s="90"/>
      <c r="B164" s="88"/>
      <c r="C164" s="89"/>
      <c r="D164" s="18"/>
      <c r="E164" s="18"/>
      <c r="F164" s="18"/>
      <c r="G164" s="18"/>
      <c r="H164" s="89"/>
      <c r="I164" s="18"/>
      <c r="J164" s="18"/>
      <c r="K164" s="18"/>
      <c r="L164" s="89"/>
      <c r="M164" s="18"/>
      <c r="N164" s="18"/>
      <c r="O164" s="18"/>
      <c r="P164" s="18"/>
      <c r="Q164" s="18"/>
      <c r="R164" s="29"/>
      <c r="S164" s="18"/>
      <c r="T164" s="18"/>
      <c r="U164" s="18"/>
      <c r="V164" s="89"/>
      <c r="W164" s="18"/>
      <c r="X164" s="18"/>
      <c r="Y164" s="18"/>
      <c r="Z164" s="89"/>
      <c r="AA164" s="18"/>
      <c r="AB164" s="18"/>
      <c r="AC164" s="18"/>
      <c r="AD164" s="18"/>
      <c r="AE164" s="18"/>
      <c r="AF164" s="171"/>
      <c r="AG164" s="171"/>
    </row>
    <row r="165" spans="1:33" s="1" customFormat="1" ht="19.5" customHeight="1">
      <c r="A165" s="90"/>
      <c r="B165" s="88"/>
      <c r="C165" s="89"/>
      <c r="D165" s="18"/>
      <c r="E165" s="18"/>
      <c r="F165" s="18"/>
      <c r="G165" s="18"/>
      <c r="H165" s="89"/>
      <c r="I165" s="18"/>
      <c r="J165" s="18"/>
      <c r="K165" s="18"/>
      <c r="L165" s="89"/>
      <c r="M165" s="18"/>
      <c r="N165" s="18"/>
      <c r="O165" s="18"/>
      <c r="P165" s="18"/>
      <c r="Q165" s="18"/>
      <c r="R165" s="29"/>
      <c r="S165" s="18"/>
      <c r="T165" s="18"/>
      <c r="U165" s="18"/>
      <c r="V165" s="89"/>
      <c r="W165" s="18"/>
      <c r="X165" s="18"/>
      <c r="Y165" s="18"/>
      <c r="Z165" s="89"/>
      <c r="AA165" s="18"/>
      <c r="AB165" s="18"/>
      <c r="AC165" s="18"/>
      <c r="AD165" s="18"/>
      <c r="AE165" s="18"/>
      <c r="AF165" s="171"/>
      <c r="AG165" s="171"/>
    </row>
    <row r="166" spans="1:33" s="1" customFormat="1" ht="19.5" customHeight="1">
      <c r="A166" s="90"/>
      <c r="B166" s="88"/>
      <c r="C166" s="89"/>
      <c r="D166" s="18"/>
      <c r="E166" s="18"/>
      <c r="F166" s="18"/>
      <c r="G166" s="18"/>
      <c r="H166" s="89"/>
      <c r="I166" s="18"/>
      <c r="J166" s="18"/>
      <c r="K166" s="18"/>
      <c r="L166" s="89"/>
      <c r="M166" s="18"/>
      <c r="N166" s="18"/>
      <c r="O166" s="18"/>
      <c r="P166" s="18"/>
      <c r="Q166" s="18"/>
      <c r="R166" s="29"/>
      <c r="S166" s="18"/>
      <c r="T166" s="18"/>
      <c r="U166" s="18"/>
      <c r="V166" s="89"/>
      <c r="W166" s="18"/>
      <c r="X166" s="18"/>
      <c r="Y166" s="18"/>
      <c r="Z166" s="89"/>
      <c r="AA166" s="18"/>
      <c r="AB166" s="18"/>
      <c r="AC166" s="18"/>
      <c r="AD166" s="18"/>
      <c r="AE166" s="18"/>
      <c r="AF166" s="171"/>
      <c r="AG166" s="171"/>
    </row>
    <row r="167" spans="1:33" s="1" customFormat="1" ht="19.5" customHeight="1">
      <c r="A167" s="90"/>
      <c r="B167" s="88"/>
      <c r="C167" s="89"/>
      <c r="D167" s="18"/>
      <c r="E167" s="18"/>
      <c r="F167" s="18"/>
      <c r="G167" s="18"/>
      <c r="H167" s="89"/>
      <c r="I167" s="18"/>
      <c r="J167" s="18"/>
      <c r="K167" s="18"/>
      <c r="L167" s="89"/>
      <c r="M167" s="18"/>
      <c r="N167" s="18"/>
      <c r="O167" s="18"/>
      <c r="P167" s="18"/>
      <c r="Q167" s="18"/>
      <c r="R167" s="29"/>
      <c r="S167" s="18"/>
      <c r="T167" s="18"/>
      <c r="U167" s="18"/>
      <c r="V167" s="89"/>
      <c r="W167" s="18"/>
      <c r="X167" s="18"/>
      <c r="Y167" s="18"/>
      <c r="Z167" s="89"/>
      <c r="AA167" s="18"/>
      <c r="AB167" s="18"/>
      <c r="AC167" s="18"/>
      <c r="AD167" s="18"/>
      <c r="AE167" s="18"/>
      <c r="AF167" s="171"/>
      <c r="AG167" s="171"/>
    </row>
    <row r="168" spans="1:33" s="1" customFormat="1" ht="19.5" customHeight="1">
      <c r="A168" s="90"/>
      <c r="B168" s="88"/>
      <c r="C168" s="89"/>
      <c r="D168" s="18"/>
      <c r="E168" s="18"/>
      <c r="F168" s="18"/>
      <c r="G168" s="18"/>
      <c r="H168" s="89"/>
      <c r="I168" s="18"/>
      <c r="J168" s="18"/>
      <c r="K168" s="18"/>
      <c r="L168" s="89"/>
      <c r="M168" s="18"/>
      <c r="N168" s="18"/>
      <c r="O168" s="18"/>
      <c r="P168" s="18"/>
      <c r="Q168" s="18"/>
      <c r="R168" s="29"/>
      <c r="S168" s="18"/>
      <c r="T168" s="18"/>
      <c r="U168" s="18"/>
      <c r="V168" s="89"/>
      <c r="W168" s="18"/>
      <c r="X168" s="18"/>
      <c r="Y168" s="18"/>
      <c r="Z168" s="89"/>
      <c r="AA168" s="18"/>
      <c r="AB168" s="18"/>
      <c r="AC168" s="18"/>
      <c r="AD168" s="18"/>
      <c r="AE168" s="18"/>
      <c r="AF168" s="171"/>
      <c r="AG168" s="171"/>
    </row>
    <row r="169" spans="1:33" s="1" customFormat="1" ht="19.5" customHeight="1">
      <c r="A169" s="90"/>
      <c r="B169" s="88"/>
      <c r="C169" s="89"/>
      <c r="D169" s="18"/>
      <c r="E169" s="18"/>
      <c r="F169" s="18"/>
      <c r="G169" s="18"/>
      <c r="H169" s="89"/>
      <c r="I169" s="18"/>
      <c r="J169" s="18"/>
      <c r="K169" s="18"/>
      <c r="L169" s="89"/>
      <c r="M169" s="18"/>
      <c r="N169" s="18"/>
      <c r="O169" s="18"/>
      <c r="P169" s="18"/>
      <c r="Q169" s="18"/>
      <c r="R169" s="29"/>
      <c r="S169" s="18"/>
      <c r="T169" s="18"/>
      <c r="U169" s="18"/>
      <c r="V169" s="89"/>
      <c r="W169" s="18"/>
      <c r="X169" s="18"/>
      <c r="Y169" s="18"/>
      <c r="Z169" s="89"/>
      <c r="AA169" s="18"/>
      <c r="AB169" s="18"/>
      <c r="AC169" s="18"/>
      <c r="AD169" s="18"/>
      <c r="AE169" s="18"/>
      <c r="AF169" s="171"/>
      <c r="AG169" s="171"/>
    </row>
    <row r="170" spans="1:33" s="1" customFormat="1" ht="19.5" customHeight="1">
      <c r="A170" s="90"/>
      <c r="B170" s="88"/>
      <c r="C170" s="89"/>
      <c r="D170" s="18"/>
      <c r="E170" s="18"/>
      <c r="F170" s="18"/>
      <c r="G170" s="18"/>
      <c r="H170" s="89"/>
      <c r="I170" s="18"/>
      <c r="J170" s="18"/>
      <c r="K170" s="18"/>
      <c r="L170" s="89"/>
      <c r="M170" s="18"/>
      <c r="N170" s="18"/>
      <c r="O170" s="18"/>
      <c r="P170" s="18"/>
      <c r="Q170" s="18"/>
      <c r="R170" s="29"/>
      <c r="S170" s="18"/>
      <c r="T170" s="18"/>
      <c r="U170" s="18"/>
      <c r="V170" s="89"/>
      <c r="W170" s="18"/>
      <c r="X170" s="18"/>
      <c r="Y170" s="18"/>
      <c r="Z170" s="89"/>
      <c r="AA170" s="18"/>
      <c r="AB170" s="18"/>
      <c r="AC170" s="18"/>
      <c r="AD170" s="18"/>
      <c r="AE170" s="18"/>
      <c r="AF170" s="171"/>
      <c r="AG170" s="171"/>
    </row>
    <row r="171" spans="1:33" s="1" customFormat="1" ht="19.5" customHeight="1">
      <c r="A171" s="90"/>
      <c r="B171" s="88"/>
      <c r="C171" s="89"/>
      <c r="D171" s="18"/>
      <c r="E171" s="18"/>
      <c r="F171" s="18"/>
      <c r="G171" s="18"/>
      <c r="H171" s="89"/>
      <c r="I171" s="18"/>
      <c r="J171" s="18"/>
      <c r="K171" s="18"/>
      <c r="L171" s="89"/>
      <c r="M171" s="18"/>
      <c r="N171" s="18"/>
      <c r="O171" s="18"/>
      <c r="P171" s="18"/>
      <c r="Q171" s="18"/>
      <c r="R171" s="29"/>
      <c r="S171" s="18"/>
      <c r="T171" s="18"/>
      <c r="U171" s="18"/>
      <c r="V171" s="89"/>
      <c r="W171" s="18"/>
      <c r="X171" s="18"/>
      <c r="Y171" s="18"/>
      <c r="Z171" s="89"/>
      <c r="AA171" s="18"/>
      <c r="AB171" s="18"/>
      <c r="AC171" s="18"/>
      <c r="AD171" s="18"/>
      <c r="AE171" s="18"/>
      <c r="AF171" s="171"/>
      <c r="AG171" s="171"/>
    </row>
    <row r="172" spans="1:33" s="1" customFormat="1" ht="19.5" customHeight="1">
      <c r="A172" s="90"/>
      <c r="B172" s="88"/>
      <c r="C172" s="89"/>
      <c r="D172" s="18"/>
      <c r="E172" s="18"/>
      <c r="F172" s="18"/>
      <c r="G172" s="18"/>
      <c r="H172" s="89"/>
      <c r="I172" s="18"/>
      <c r="J172" s="18"/>
      <c r="K172" s="18"/>
      <c r="L172" s="89"/>
      <c r="M172" s="18"/>
      <c r="N172" s="18"/>
      <c r="O172" s="18"/>
      <c r="P172" s="18"/>
      <c r="Q172" s="18"/>
      <c r="R172" s="29"/>
      <c r="S172" s="18"/>
      <c r="T172" s="18"/>
      <c r="U172" s="18"/>
      <c r="V172" s="89"/>
      <c r="W172" s="18"/>
      <c r="X172" s="18"/>
      <c r="Y172" s="18"/>
      <c r="Z172" s="89"/>
      <c r="AA172" s="18"/>
      <c r="AB172" s="18"/>
      <c r="AC172" s="18"/>
      <c r="AD172" s="18"/>
      <c r="AE172" s="18"/>
      <c r="AF172" s="171"/>
      <c r="AG172" s="171"/>
    </row>
    <row r="173" spans="1:33" s="1" customFormat="1" ht="19.5" customHeight="1">
      <c r="A173" s="90"/>
      <c r="B173" s="88"/>
      <c r="C173" s="89"/>
      <c r="D173" s="18"/>
      <c r="E173" s="18"/>
      <c r="F173" s="18"/>
      <c r="G173" s="18"/>
      <c r="H173" s="89"/>
      <c r="I173" s="18"/>
      <c r="J173" s="18"/>
      <c r="K173" s="18"/>
      <c r="L173" s="89"/>
      <c r="M173" s="18"/>
      <c r="N173" s="18"/>
      <c r="O173" s="18"/>
      <c r="P173" s="18"/>
      <c r="Q173" s="18"/>
      <c r="R173" s="29"/>
      <c r="S173" s="18"/>
      <c r="T173" s="18"/>
      <c r="U173" s="18"/>
      <c r="V173" s="89"/>
      <c r="W173" s="18"/>
      <c r="X173" s="18"/>
      <c r="Y173" s="18"/>
      <c r="Z173" s="89"/>
      <c r="AA173" s="18"/>
      <c r="AB173" s="18"/>
      <c r="AC173" s="18"/>
      <c r="AD173" s="18"/>
      <c r="AE173" s="18"/>
      <c r="AF173" s="171"/>
      <c r="AG173" s="171"/>
    </row>
    <row r="174" spans="1:33" s="1" customFormat="1" ht="19.5" customHeight="1">
      <c r="A174" s="90"/>
      <c r="B174" s="88"/>
      <c r="C174" s="89"/>
      <c r="D174" s="18"/>
      <c r="E174" s="18"/>
      <c r="F174" s="18"/>
      <c r="G174" s="18"/>
      <c r="H174" s="89"/>
      <c r="I174" s="18"/>
      <c r="J174" s="18"/>
      <c r="K174" s="18"/>
      <c r="L174" s="89"/>
      <c r="M174" s="18"/>
      <c r="N174" s="18"/>
      <c r="O174" s="18"/>
      <c r="P174" s="18"/>
      <c r="Q174" s="18"/>
      <c r="R174" s="29"/>
      <c r="S174" s="18"/>
      <c r="T174" s="18"/>
      <c r="U174" s="18"/>
      <c r="V174" s="89"/>
      <c r="W174" s="18"/>
      <c r="X174" s="18"/>
      <c r="Y174" s="18"/>
      <c r="Z174" s="89"/>
      <c r="AA174" s="18"/>
      <c r="AB174" s="18"/>
      <c r="AC174" s="18"/>
      <c r="AD174" s="18"/>
      <c r="AE174" s="18"/>
      <c r="AF174" s="171"/>
      <c r="AG174" s="171"/>
    </row>
    <row r="175" spans="1:33" s="1" customFormat="1" ht="19.5" customHeight="1">
      <c r="A175" s="90"/>
      <c r="B175" s="88"/>
      <c r="C175" s="89"/>
      <c r="D175" s="18"/>
      <c r="E175" s="18"/>
      <c r="F175" s="18"/>
      <c r="G175" s="18"/>
      <c r="H175" s="89"/>
      <c r="I175" s="18"/>
      <c r="J175" s="18"/>
      <c r="K175" s="18"/>
      <c r="L175" s="89"/>
      <c r="M175" s="18"/>
      <c r="N175" s="18"/>
      <c r="O175" s="18"/>
      <c r="P175" s="18"/>
      <c r="Q175" s="18"/>
      <c r="R175" s="29"/>
      <c r="S175" s="18"/>
      <c r="T175" s="18"/>
      <c r="U175" s="18"/>
      <c r="V175" s="89"/>
      <c r="W175" s="18"/>
      <c r="X175" s="18"/>
      <c r="Y175" s="18"/>
      <c r="Z175" s="89"/>
      <c r="AA175" s="18"/>
      <c r="AB175" s="18"/>
      <c r="AC175" s="18"/>
      <c r="AD175" s="18"/>
      <c r="AE175" s="18"/>
      <c r="AF175" s="171"/>
      <c r="AG175" s="171"/>
    </row>
    <row r="176" spans="1:33" s="1" customFormat="1" ht="19.5" customHeight="1">
      <c r="A176" s="90"/>
      <c r="B176" s="88"/>
      <c r="C176" s="89"/>
      <c r="D176" s="18"/>
      <c r="E176" s="18"/>
      <c r="F176" s="18"/>
      <c r="G176" s="18"/>
      <c r="H176" s="89"/>
      <c r="I176" s="18"/>
      <c r="J176" s="18"/>
      <c r="K176" s="18"/>
      <c r="L176" s="89"/>
      <c r="M176" s="18"/>
      <c r="N176" s="18"/>
      <c r="O176" s="18"/>
      <c r="P176" s="18"/>
      <c r="Q176" s="18"/>
      <c r="R176" s="29"/>
      <c r="S176" s="18"/>
      <c r="T176" s="18"/>
      <c r="U176" s="18"/>
      <c r="V176" s="89"/>
      <c r="W176" s="18"/>
      <c r="X176" s="18"/>
      <c r="Y176" s="18"/>
      <c r="Z176" s="89"/>
      <c r="AA176" s="18"/>
      <c r="AB176" s="18"/>
      <c r="AC176" s="18"/>
      <c r="AD176" s="18"/>
      <c r="AE176" s="18"/>
      <c r="AF176" s="171"/>
      <c r="AG176" s="171"/>
    </row>
    <row r="177" spans="1:33" s="1" customFormat="1" ht="19.5" customHeight="1">
      <c r="A177" s="90"/>
      <c r="B177" s="88"/>
      <c r="C177" s="89"/>
      <c r="D177" s="18"/>
      <c r="E177" s="18"/>
      <c r="F177" s="18"/>
      <c r="G177" s="18"/>
      <c r="H177" s="89"/>
      <c r="I177" s="18"/>
      <c r="J177" s="18"/>
      <c r="K177" s="18"/>
      <c r="L177" s="89"/>
      <c r="M177" s="18"/>
      <c r="N177" s="18"/>
      <c r="O177" s="18"/>
      <c r="P177" s="18"/>
      <c r="Q177" s="18"/>
      <c r="R177" s="29"/>
      <c r="S177" s="18"/>
      <c r="T177" s="18"/>
      <c r="U177" s="18"/>
      <c r="V177" s="89"/>
      <c r="W177" s="18"/>
      <c r="X177" s="18"/>
      <c r="Y177" s="18"/>
      <c r="Z177" s="89"/>
      <c r="AA177" s="18"/>
      <c r="AB177" s="18"/>
      <c r="AC177" s="18"/>
      <c r="AD177" s="18"/>
      <c r="AE177" s="18"/>
      <c r="AF177" s="171"/>
      <c r="AG177" s="171"/>
    </row>
    <row r="178" spans="1:33" s="1" customFormat="1" ht="19.5" customHeight="1">
      <c r="A178" s="90"/>
      <c r="B178" s="88"/>
      <c r="C178" s="89"/>
      <c r="D178" s="18"/>
      <c r="E178" s="18"/>
      <c r="F178" s="18"/>
      <c r="G178" s="18"/>
      <c r="H178" s="89"/>
      <c r="I178" s="18"/>
      <c r="J178" s="18"/>
      <c r="K178" s="18"/>
      <c r="L178" s="89"/>
      <c r="M178" s="18"/>
      <c r="N178" s="18"/>
      <c r="O178" s="18"/>
      <c r="P178" s="18"/>
      <c r="Q178" s="18"/>
      <c r="R178" s="29"/>
      <c r="S178" s="18"/>
      <c r="T178" s="18"/>
      <c r="U178" s="18"/>
      <c r="V178" s="89"/>
      <c r="W178" s="18"/>
      <c r="X178" s="18"/>
      <c r="Y178" s="18"/>
      <c r="Z178" s="89"/>
      <c r="AA178" s="18"/>
      <c r="AB178" s="18"/>
      <c r="AC178" s="18"/>
      <c r="AD178" s="18"/>
      <c r="AE178" s="18"/>
      <c r="AF178" s="171"/>
      <c r="AG178" s="171"/>
    </row>
    <row r="179" spans="1:33" s="1" customFormat="1" ht="19.5" customHeight="1">
      <c r="A179" s="90"/>
      <c r="B179" s="88"/>
      <c r="C179" s="89"/>
      <c r="D179" s="18"/>
      <c r="E179" s="18"/>
      <c r="F179" s="18"/>
      <c r="G179" s="18"/>
      <c r="H179" s="89"/>
      <c r="I179" s="18"/>
      <c r="J179" s="18"/>
      <c r="K179" s="18"/>
      <c r="L179" s="89"/>
      <c r="M179" s="18"/>
      <c r="N179" s="18"/>
      <c r="O179" s="18"/>
      <c r="P179" s="18"/>
      <c r="Q179" s="18"/>
      <c r="R179" s="29"/>
      <c r="S179" s="18"/>
      <c r="T179" s="18"/>
      <c r="U179" s="18"/>
      <c r="V179" s="89"/>
      <c r="W179" s="18"/>
      <c r="X179" s="18"/>
      <c r="Y179" s="18"/>
      <c r="Z179" s="89"/>
      <c r="AA179" s="18"/>
      <c r="AB179" s="18"/>
      <c r="AC179" s="18"/>
      <c r="AD179" s="18"/>
      <c r="AE179" s="18"/>
      <c r="AF179" s="171"/>
      <c r="AG179" s="171"/>
    </row>
    <row r="180" spans="1:33" s="1" customFormat="1" ht="19.5" customHeight="1">
      <c r="A180" s="90"/>
      <c r="B180" s="88"/>
      <c r="C180" s="89"/>
      <c r="D180" s="18"/>
      <c r="E180" s="18"/>
      <c r="F180" s="18"/>
      <c r="G180" s="18"/>
      <c r="H180" s="89"/>
      <c r="I180" s="18"/>
      <c r="J180" s="18"/>
      <c r="K180" s="18"/>
      <c r="L180" s="89"/>
      <c r="M180" s="18"/>
      <c r="N180" s="18"/>
      <c r="O180" s="18"/>
      <c r="P180" s="18"/>
      <c r="Q180" s="18"/>
      <c r="R180" s="29"/>
      <c r="S180" s="18"/>
      <c r="T180" s="18"/>
      <c r="U180" s="18"/>
      <c r="V180" s="89"/>
      <c r="W180" s="18"/>
      <c r="X180" s="18"/>
      <c r="Y180" s="18"/>
      <c r="Z180" s="89"/>
      <c r="AA180" s="18"/>
      <c r="AB180" s="18"/>
      <c r="AC180" s="18"/>
      <c r="AD180" s="18"/>
      <c r="AE180" s="18"/>
      <c r="AF180" s="171"/>
      <c r="AG180" s="171"/>
    </row>
    <row r="181" spans="1:33" s="1" customFormat="1" ht="19.5" customHeight="1">
      <c r="A181" s="90"/>
      <c r="B181" s="88"/>
      <c r="C181" s="89"/>
      <c r="D181" s="18"/>
      <c r="E181" s="18"/>
      <c r="F181" s="18"/>
      <c r="G181" s="18"/>
      <c r="H181" s="89"/>
      <c r="I181" s="18"/>
      <c r="J181" s="18"/>
      <c r="K181" s="18"/>
      <c r="L181" s="89"/>
      <c r="M181" s="18"/>
      <c r="N181" s="18"/>
      <c r="O181" s="18"/>
      <c r="P181" s="18"/>
      <c r="Q181" s="18"/>
      <c r="R181" s="29"/>
      <c r="S181" s="18"/>
      <c r="T181" s="18"/>
      <c r="U181" s="18"/>
      <c r="V181" s="89"/>
      <c r="W181" s="18"/>
      <c r="X181" s="18"/>
      <c r="Y181" s="18"/>
      <c r="Z181" s="89"/>
      <c r="AA181" s="18"/>
      <c r="AB181" s="18"/>
      <c r="AC181" s="18"/>
      <c r="AD181" s="18"/>
      <c r="AE181" s="18"/>
      <c r="AF181" s="171"/>
      <c r="AG181" s="171"/>
    </row>
    <row r="182" spans="1:33" s="1" customFormat="1" ht="19.5" customHeight="1">
      <c r="A182" s="90"/>
      <c r="B182" s="88"/>
      <c r="C182" s="89"/>
      <c r="D182" s="18"/>
      <c r="E182" s="18"/>
      <c r="F182" s="18"/>
      <c r="G182" s="18"/>
      <c r="H182" s="89"/>
      <c r="I182" s="18"/>
      <c r="J182" s="18"/>
      <c r="K182" s="18"/>
      <c r="L182" s="89"/>
      <c r="M182" s="18"/>
      <c r="N182" s="18"/>
      <c r="O182" s="18"/>
      <c r="P182" s="18"/>
      <c r="Q182" s="18"/>
      <c r="R182" s="29"/>
      <c r="S182" s="18"/>
      <c r="T182" s="18"/>
      <c r="U182" s="18"/>
      <c r="V182" s="89"/>
      <c r="W182" s="18"/>
      <c r="X182" s="18"/>
      <c r="Y182" s="18"/>
      <c r="Z182" s="89"/>
      <c r="AA182" s="18"/>
      <c r="AB182" s="18"/>
      <c r="AC182" s="18"/>
      <c r="AD182" s="18"/>
      <c r="AE182" s="18"/>
      <c r="AF182" s="171"/>
      <c r="AG182" s="171"/>
    </row>
    <row r="183" spans="1:33" s="1" customFormat="1" ht="19.5" customHeight="1">
      <c r="A183" s="90"/>
      <c r="B183" s="88"/>
      <c r="C183" s="89"/>
      <c r="D183" s="18"/>
      <c r="E183" s="18"/>
      <c r="F183" s="18"/>
      <c r="G183" s="18"/>
      <c r="H183" s="89"/>
      <c r="I183" s="18"/>
      <c r="J183" s="18"/>
      <c r="K183" s="18"/>
      <c r="L183" s="89"/>
      <c r="M183" s="18"/>
      <c r="N183" s="18"/>
      <c r="O183" s="18"/>
      <c r="P183" s="18"/>
      <c r="Q183" s="18"/>
      <c r="R183" s="29"/>
      <c r="S183" s="18"/>
      <c r="T183" s="18"/>
      <c r="U183" s="18"/>
      <c r="V183" s="89"/>
      <c r="W183" s="18"/>
      <c r="X183" s="18"/>
      <c r="Y183" s="18"/>
      <c r="Z183" s="89"/>
      <c r="AA183" s="18"/>
      <c r="AB183" s="18"/>
      <c r="AC183" s="18"/>
      <c r="AD183" s="18"/>
      <c r="AE183" s="18"/>
      <c r="AF183" s="171"/>
      <c r="AG183" s="171"/>
    </row>
    <row r="184" spans="1:33" s="1" customFormat="1" ht="19.5" customHeight="1">
      <c r="A184" s="90"/>
      <c r="B184" s="88"/>
      <c r="C184" s="89"/>
      <c r="D184" s="18"/>
      <c r="E184" s="18"/>
      <c r="F184" s="18"/>
      <c r="G184" s="18"/>
      <c r="H184" s="89"/>
      <c r="I184" s="18"/>
      <c r="J184" s="18"/>
      <c r="K184" s="18"/>
      <c r="L184" s="89"/>
      <c r="M184" s="18"/>
      <c r="N184" s="18"/>
      <c r="O184" s="18"/>
      <c r="P184" s="18"/>
      <c r="Q184" s="18"/>
      <c r="R184" s="29"/>
      <c r="S184" s="18"/>
      <c r="T184" s="18"/>
      <c r="U184" s="18"/>
      <c r="V184" s="89"/>
      <c r="W184" s="18"/>
      <c r="X184" s="18"/>
      <c r="Y184" s="18"/>
      <c r="Z184" s="89"/>
      <c r="AA184" s="18"/>
      <c r="AB184" s="18"/>
      <c r="AC184" s="18"/>
      <c r="AD184" s="18"/>
      <c r="AE184" s="18"/>
      <c r="AF184" s="171"/>
      <c r="AG184" s="171"/>
    </row>
    <row r="185" spans="1:33" s="1" customFormat="1" ht="19.5" customHeight="1">
      <c r="A185" s="90"/>
      <c r="B185" s="88"/>
      <c r="C185" s="89"/>
      <c r="D185" s="18"/>
      <c r="E185" s="18"/>
      <c r="F185" s="18"/>
      <c r="G185" s="18"/>
      <c r="H185" s="89"/>
      <c r="I185" s="18"/>
      <c r="J185" s="18"/>
      <c r="K185" s="18"/>
      <c r="L185" s="89"/>
      <c r="M185" s="18"/>
      <c r="N185" s="18"/>
      <c r="O185" s="18"/>
      <c r="P185" s="18"/>
      <c r="Q185" s="18"/>
      <c r="R185" s="29"/>
      <c r="S185" s="18"/>
      <c r="T185" s="18"/>
      <c r="U185" s="18"/>
      <c r="V185" s="89"/>
      <c r="W185" s="18"/>
      <c r="X185" s="18"/>
      <c r="Y185" s="18"/>
      <c r="Z185" s="89"/>
      <c r="AA185" s="18"/>
      <c r="AB185" s="18"/>
      <c r="AC185" s="18"/>
      <c r="AD185" s="18"/>
      <c r="AE185" s="18"/>
      <c r="AF185" s="171"/>
      <c r="AG185" s="171"/>
    </row>
    <row r="186" spans="1:33" s="1" customFormat="1" ht="19.5" customHeight="1">
      <c r="A186" s="90"/>
      <c r="B186" s="88"/>
      <c r="C186" s="89"/>
      <c r="D186" s="18"/>
      <c r="E186" s="18"/>
      <c r="F186" s="18"/>
      <c r="G186" s="18"/>
      <c r="H186" s="89"/>
      <c r="I186" s="18"/>
      <c r="J186" s="18"/>
      <c r="K186" s="18"/>
      <c r="L186" s="89"/>
      <c r="M186" s="18"/>
      <c r="N186" s="18"/>
      <c r="O186" s="18"/>
      <c r="P186" s="18"/>
      <c r="Q186" s="18"/>
      <c r="R186" s="29"/>
      <c r="S186" s="18"/>
      <c r="T186" s="18"/>
      <c r="U186" s="18"/>
      <c r="V186" s="89"/>
      <c r="W186" s="18"/>
      <c r="X186" s="18"/>
      <c r="Y186" s="18"/>
      <c r="Z186" s="89"/>
      <c r="AA186" s="18"/>
      <c r="AB186" s="18"/>
      <c r="AC186" s="18"/>
      <c r="AD186" s="18"/>
      <c r="AE186" s="18"/>
      <c r="AF186" s="171"/>
      <c r="AG186" s="171"/>
    </row>
    <row r="187" spans="1:33" s="1" customFormat="1" ht="19.5" customHeight="1">
      <c r="A187" s="90"/>
      <c r="B187" s="88"/>
      <c r="C187" s="89"/>
      <c r="D187" s="18"/>
      <c r="E187" s="18"/>
      <c r="F187" s="18"/>
      <c r="G187" s="18"/>
      <c r="H187" s="89"/>
      <c r="I187" s="18"/>
      <c r="J187" s="18"/>
      <c r="K187" s="18"/>
      <c r="L187" s="89"/>
      <c r="M187" s="18"/>
      <c r="N187" s="18"/>
      <c r="O187" s="18"/>
      <c r="P187" s="18"/>
      <c r="Q187" s="18"/>
      <c r="R187" s="29"/>
      <c r="S187" s="18"/>
      <c r="T187" s="18"/>
      <c r="U187" s="18"/>
      <c r="V187" s="89"/>
      <c r="W187" s="18"/>
      <c r="X187" s="18"/>
      <c r="Y187" s="18"/>
      <c r="Z187" s="89"/>
      <c r="AA187" s="18"/>
      <c r="AB187" s="18"/>
      <c r="AC187" s="18"/>
      <c r="AD187" s="18"/>
      <c r="AE187" s="18"/>
      <c r="AF187" s="171"/>
      <c r="AG187" s="171"/>
    </row>
    <row r="188" spans="1:33" s="1" customFormat="1" ht="19.5" customHeight="1">
      <c r="A188" s="90"/>
      <c r="B188" s="88"/>
      <c r="C188" s="89"/>
      <c r="D188" s="18"/>
      <c r="E188" s="18"/>
      <c r="F188" s="18"/>
      <c r="G188" s="18"/>
      <c r="H188" s="89"/>
      <c r="I188" s="18"/>
      <c r="J188" s="18"/>
      <c r="K188" s="18"/>
      <c r="L188" s="89"/>
      <c r="M188" s="18"/>
      <c r="N188" s="18"/>
      <c r="O188" s="18"/>
      <c r="P188" s="18"/>
      <c r="Q188" s="18"/>
      <c r="R188" s="29"/>
      <c r="S188" s="18"/>
      <c r="T188" s="18"/>
      <c r="U188" s="18"/>
      <c r="V188" s="89"/>
      <c r="W188" s="18"/>
      <c r="X188" s="18"/>
      <c r="Y188" s="18"/>
      <c r="Z188" s="89"/>
      <c r="AA188" s="18"/>
      <c r="AB188" s="18"/>
      <c r="AC188" s="18"/>
      <c r="AD188" s="18"/>
      <c r="AE188" s="18"/>
      <c r="AF188" s="171"/>
      <c r="AG188" s="171"/>
    </row>
    <row r="189" spans="1:33" s="1" customFormat="1" ht="19.5" customHeight="1">
      <c r="A189" s="90"/>
      <c r="B189" s="88"/>
      <c r="C189" s="89"/>
      <c r="D189" s="18"/>
      <c r="E189" s="18"/>
      <c r="F189" s="18"/>
      <c r="G189" s="18"/>
      <c r="H189" s="89"/>
      <c r="I189" s="18"/>
      <c r="J189" s="18"/>
      <c r="K189" s="18"/>
      <c r="L189" s="89"/>
      <c r="M189" s="18"/>
      <c r="N189" s="18"/>
      <c r="O189" s="18"/>
      <c r="P189" s="18"/>
      <c r="Q189" s="18"/>
      <c r="R189" s="29"/>
      <c r="S189" s="18"/>
      <c r="T189" s="18"/>
      <c r="U189" s="18"/>
      <c r="V189" s="89"/>
      <c r="W189" s="18"/>
      <c r="X189" s="18"/>
      <c r="Y189" s="18"/>
      <c r="Z189" s="89"/>
      <c r="AA189" s="18"/>
      <c r="AB189" s="18"/>
      <c r="AC189" s="18"/>
      <c r="AD189" s="18"/>
      <c r="AE189" s="18"/>
      <c r="AF189" s="171"/>
      <c r="AG189" s="171"/>
    </row>
    <row r="190" spans="1:33" s="1" customFormat="1" ht="19.5" customHeight="1">
      <c r="A190" s="90"/>
      <c r="B190" s="88"/>
      <c r="C190" s="89"/>
      <c r="D190" s="18"/>
      <c r="E190" s="18"/>
      <c r="F190" s="18"/>
      <c r="G190" s="18"/>
      <c r="H190" s="89"/>
      <c r="I190" s="18"/>
      <c r="J190" s="18"/>
      <c r="K190" s="18"/>
      <c r="L190" s="89"/>
      <c r="M190" s="18"/>
      <c r="N190" s="18"/>
      <c r="O190" s="18"/>
      <c r="P190" s="18"/>
      <c r="Q190" s="18"/>
      <c r="R190" s="29"/>
      <c r="S190" s="18"/>
      <c r="T190" s="18"/>
      <c r="U190" s="18"/>
      <c r="V190" s="89"/>
      <c r="W190" s="18"/>
      <c r="X190" s="18"/>
      <c r="Y190" s="18"/>
      <c r="Z190" s="89"/>
      <c r="AA190" s="18"/>
      <c r="AB190" s="18"/>
      <c r="AC190" s="18"/>
      <c r="AD190" s="18"/>
      <c r="AE190" s="18"/>
      <c r="AF190" s="171"/>
      <c r="AG190" s="171"/>
    </row>
    <row r="191" spans="1:33" s="1" customFormat="1" ht="19.5" customHeight="1">
      <c r="A191" s="90"/>
      <c r="B191" s="88"/>
      <c r="C191" s="89"/>
      <c r="D191" s="18"/>
      <c r="E191" s="18"/>
      <c r="F191" s="18"/>
      <c r="G191" s="18"/>
      <c r="H191" s="89"/>
      <c r="I191" s="18"/>
      <c r="J191" s="18"/>
      <c r="K191" s="18"/>
      <c r="L191" s="89"/>
      <c r="M191" s="18"/>
      <c r="N191" s="18"/>
      <c r="O191" s="18"/>
      <c r="P191" s="18"/>
      <c r="Q191" s="18"/>
      <c r="R191" s="29"/>
      <c r="S191" s="18"/>
      <c r="T191" s="18"/>
      <c r="U191" s="18"/>
      <c r="V191" s="89"/>
      <c r="W191" s="18"/>
      <c r="X191" s="18"/>
      <c r="Y191" s="18"/>
      <c r="Z191" s="89"/>
      <c r="AA191" s="18"/>
      <c r="AB191" s="18"/>
      <c r="AC191" s="18"/>
      <c r="AD191" s="18"/>
      <c r="AE191" s="18"/>
      <c r="AF191" s="171"/>
      <c r="AG191" s="171"/>
    </row>
    <row r="192" spans="1:33" s="1" customFormat="1" ht="19.5" customHeight="1">
      <c r="A192" s="90"/>
      <c r="B192" s="88"/>
      <c r="C192" s="89"/>
      <c r="D192" s="18"/>
      <c r="E192" s="18"/>
      <c r="F192" s="18"/>
      <c r="G192" s="18"/>
      <c r="H192" s="89"/>
      <c r="I192" s="18"/>
      <c r="J192" s="18"/>
      <c r="K192" s="18"/>
      <c r="L192" s="89"/>
      <c r="M192" s="18"/>
      <c r="N192" s="18"/>
      <c r="O192" s="18"/>
      <c r="P192" s="18"/>
      <c r="Q192" s="18"/>
      <c r="R192" s="29"/>
      <c r="S192" s="18"/>
      <c r="T192" s="18"/>
      <c r="U192" s="18"/>
      <c r="V192" s="89"/>
      <c r="W192" s="18"/>
      <c r="X192" s="18"/>
      <c r="Y192" s="18"/>
      <c r="Z192" s="89"/>
      <c r="AA192" s="18"/>
      <c r="AB192" s="18"/>
      <c r="AC192" s="18"/>
      <c r="AD192" s="18"/>
      <c r="AE192" s="18"/>
      <c r="AF192" s="171"/>
      <c r="AG192" s="171"/>
    </row>
    <row r="193" spans="1:33" s="1" customFormat="1" ht="19.5" customHeight="1">
      <c r="A193" s="90"/>
      <c r="B193" s="88"/>
      <c r="C193" s="89"/>
      <c r="D193" s="18"/>
      <c r="E193" s="18"/>
      <c r="F193" s="18"/>
      <c r="G193" s="18"/>
      <c r="H193" s="89"/>
      <c r="I193" s="18"/>
      <c r="J193" s="18"/>
      <c r="K193" s="18"/>
      <c r="L193" s="89"/>
      <c r="M193" s="18"/>
      <c r="N193" s="18"/>
      <c r="O193" s="18"/>
      <c r="P193" s="18"/>
      <c r="Q193" s="18"/>
      <c r="R193" s="29"/>
      <c r="S193" s="18"/>
      <c r="T193" s="18"/>
      <c r="U193" s="18"/>
      <c r="V193" s="89"/>
      <c r="W193" s="18"/>
      <c r="X193" s="18"/>
      <c r="Y193" s="18"/>
      <c r="Z193" s="89"/>
      <c r="AA193" s="18"/>
      <c r="AB193" s="18"/>
      <c r="AC193" s="18"/>
      <c r="AD193" s="18"/>
      <c r="AE193" s="18"/>
      <c r="AF193" s="171"/>
      <c r="AG193" s="171"/>
    </row>
    <row r="194" spans="1:33" s="1" customFormat="1" ht="19.5" customHeight="1">
      <c r="A194" s="90"/>
      <c r="B194" s="88"/>
      <c r="C194" s="89"/>
      <c r="D194" s="18"/>
      <c r="E194" s="18"/>
      <c r="F194" s="18"/>
      <c r="G194" s="18"/>
      <c r="H194" s="89"/>
      <c r="I194" s="18"/>
      <c r="J194" s="18"/>
      <c r="K194" s="18"/>
      <c r="L194" s="89"/>
      <c r="M194" s="18"/>
      <c r="N194" s="18"/>
      <c r="O194" s="18"/>
      <c r="P194" s="18"/>
      <c r="Q194" s="18"/>
      <c r="R194" s="29"/>
      <c r="S194" s="18"/>
      <c r="T194" s="18"/>
      <c r="U194" s="18"/>
      <c r="V194" s="89"/>
      <c r="W194" s="18"/>
      <c r="X194" s="18"/>
      <c r="Y194" s="18"/>
      <c r="Z194" s="89"/>
      <c r="AA194" s="18"/>
      <c r="AB194" s="18"/>
      <c r="AC194" s="18"/>
      <c r="AD194" s="18"/>
      <c r="AE194" s="18"/>
      <c r="AF194" s="171"/>
      <c r="AG194" s="171"/>
    </row>
    <row r="195" spans="1:33" s="1" customFormat="1" ht="19.5" customHeight="1">
      <c r="A195" s="90"/>
      <c r="B195" s="88"/>
      <c r="C195" s="89"/>
      <c r="D195" s="18"/>
      <c r="E195" s="18"/>
      <c r="F195" s="18"/>
      <c r="G195" s="18"/>
      <c r="H195" s="89"/>
      <c r="I195" s="18"/>
      <c r="J195" s="18"/>
      <c r="K195" s="18"/>
      <c r="L195" s="89"/>
      <c r="M195" s="18"/>
      <c r="N195" s="18"/>
      <c r="O195" s="18"/>
      <c r="P195" s="18"/>
      <c r="Q195" s="18"/>
      <c r="R195" s="29"/>
      <c r="S195" s="18"/>
      <c r="T195" s="18"/>
      <c r="U195" s="18"/>
      <c r="V195" s="89"/>
      <c r="W195" s="18"/>
      <c r="X195" s="18"/>
      <c r="Y195" s="18"/>
      <c r="Z195" s="89"/>
      <c r="AA195" s="18"/>
      <c r="AB195" s="18"/>
      <c r="AC195" s="18"/>
      <c r="AD195" s="18"/>
      <c r="AE195" s="18"/>
      <c r="AF195" s="171"/>
      <c r="AG195" s="171"/>
    </row>
    <row r="196" spans="1:33" s="1" customFormat="1" ht="19.5" customHeight="1">
      <c r="A196" s="90"/>
      <c r="B196" s="88"/>
      <c r="C196" s="89"/>
      <c r="D196" s="18"/>
      <c r="E196" s="18"/>
      <c r="F196" s="18"/>
      <c r="G196" s="18"/>
      <c r="H196" s="89"/>
      <c r="I196" s="18"/>
      <c r="J196" s="18"/>
      <c r="K196" s="18"/>
      <c r="L196" s="89"/>
      <c r="M196" s="18"/>
      <c r="N196" s="18"/>
      <c r="O196" s="18"/>
      <c r="P196" s="18"/>
      <c r="Q196" s="18"/>
      <c r="R196" s="29"/>
      <c r="S196" s="18"/>
      <c r="T196" s="18"/>
      <c r="U196" s="18"/>
      <c r="V196" s="89"/>
      <c r="W196" s="18"/>
      <c r="X196" s="18"/>
      <c r="Y196" s="18"/>
      <c r="Z196" s="89"/>
      <c r="AA196" s="18"/>
      <c r="AB196" s="18"/>
      <c r="AC196" s="18"/>
      <c r="AD196" s="18"/>
      <c r="AE196" s="18"/>
      <c r="AF196" s="171"/>
      <c r="AG196" s="171"/>
    </row>
    <row r="197" spans="1:33" s="1" customFormat="1" ht="19.5" customHeight="1">
      <c r="A197" s="90"/>
      <c r="B197" s="88"/>
      <c r="C197" s="89"/>
      <c r="D197" s="18"/>
      <c r="E197" s="18"/>
      <c r="F197" s="18"/>
      <c r="G197" s="18"/>
      <c r="H197" s="89"/>
      <c r="I197" s="18"/>
      <c r="J197" s="18"/>
      <c r="K197" s="18"/>
      <c r="L197" s="89"/>
      <c r="M197" s="18"/>
      <c r="N197" s="18"/>
      <c r="O197" s="18"/>
      <c r="P197" s="18"/>
      <c r="Q197" s="18"/>
      <c r="R197" s="29"/>
      <c r="S197" s="18"/>
      <c r="T197" s="18"/>
      <c r="U197" s="18"/>
      <c r="V197" s="89"/>
      <c r="W197" s="18"/>
      <c r="X197" s="18"/>
      <c r="Y197" s="18"/>
      <c r="Z197" s="89"/>
      <c r="AA197" s="18"/>
      <c r="AB197" s="18"/>
      <c r="AC197" s="18"/>
      <c r="AD197" s="18"/>
      <c r="AE197" s="18"/>
      <c r="AF197" s="171"/>
      <c r="AG197" s="171"/>
    </row>
    <row r="198" spans="1:33" s="1" customFormat="1" ht="19.5" customHeight="1">
      <c r="A198" s="90"/>
      <c r="B198" s="88"/>
      <c r="C198" s="89"/>
      <c r="D198" s="18"/>
      <c r="E198" s="18"/>
      <c r="F198" s="18"/>
      <c r="G198" s="18"/>
      <c r="H198" s="89"/>
      <c r="I198" s="18"/>
      <c r="J198" s="18"/>
      <c r="K198" s="18"/>
      <c r="L198" s="89"/>
      <c r="M198" s="18"/>
      <c r="N198" s="18"/>
      <c r="O198" s="18"/>
      <c r="P198" s="18"/>
      <c r="Q198" s="18"/>
      <c r="R198" s="29"/>
      <c r="S198" s="18"/>
      <c r="T198" s="18"/>
      <c r="U198" s="18"/>
      <c r="V198" s="89"/>
      <c r="W198" s="18"/>
      <c r="X198" s="18"/>
      <c r="Y198" s="18"/>
      <c r="Z198" s="89"/>
      <c r="AA198" s="18"/>
      <c r="AB198" s="18"/>
      <c r="AC198" s="18"/>
      <c r="AD198" s="18"/>
      <c r="AE198" s="18"/>
      <c r="AF198" s="171"/>
      <c r="AG198" s="171"/>
    </row>
    <row r="199" spans="1:33" s="1" customFormat="1" ht="19.5" customHeight="1">
      <c r="A199" s="90"/>
      <c r="B199" s="88"/>
      <c r="C199" s="89"/>
      <c r="D199" s="18"/>
      <c r="E199" s="18"/>
      <c r="F199" s="18"/>
      <c r="G199" s="18"/>
      <c r="H199" s="89"/>
      <c r="I199" s="18"/>
      <c r="J199" s="18"/>
      <c r="K199" s="18"/>
      <c r="L199" s="89"/>
      <c r="M199" s="18"/>
      <c r="N199" s="18"/>
      <c r="O199" s="18"/>
      <c r="P199" s="18"/>
      <c r="Q199" s="18"/>
      <c r="R199" s="29"/>
      <c r="S199" s="18"/>
      <c r="T199" s="18"/>
      <c r="U199" s="18"/>
      <c r="V199" s="89"/>
      <c r="W199" s="18"/>
      <c r="X199" s="18"/>
      <c r="Y199" s="18"/>
      <c r="Z199" s="89"/>
      <c r="AA199" s="18"/>
      <c r="AB199" s="18"/>
      <c r="AC199" s="18"/>
      <c r="AD199" s="18"/>
      <c r="AE199" s="18"/>
      <c r="AF199" s="171"/>
      <c r="AG199" s="171"/>
    </row>
    <row r="200" spans="1:33" s="1" customFormat="1" ht="19.5" customHeight="1">
      <c r="A200" s="90"/>
      <c r="B200" s="88"/>
      <c r="C200" s="89"/>
      <c r="D200" s="18"/>
      <c r="E200" s="18"/>
      <c r="F200" s="18"/>
      <c r="G200" s="18"/>
      <c r="H200" s="89"/>
      <c r="I200" s="18"/>
      <c r="J200" s="18"/>
      <c r="K200" s="18"/>
      <c r="L200" s="89"/>
      <c r="M200" s="18"/>
      <c r="N200" s="18"/>
      <c r="O200" s="18"/>
      <c r="P200" s="18"/>
      <c r="Q200" s="18"/>
      <c r="R200" s="29"/>
      <c r="S200" s="18"/>
      <c r="T200" s="18"/>
      <c r="U200" s="18"/>
      <c r="V200" s="89"/>
      <c r="W200" s="18"/>
      <c r="X200" s="18"/>
      <c r="Y200" s="18"/>
      <c r="Z200" s="89"/>
      <c r="AA200" s="18"/>
      <c r="AB200" s="18"/>
      <c r="AC200" s="18"/>
      <c r="AD200" s="18"/>
      <c r="AE200" s="18"/>
      <c r="AF200" s="171"/>
      <c r="AG200" s="171"/>
    </row>
    <row r="201" spans="1:33" s="1" customFormat="1" ht="19.5" customHeight="1">
      <c r="A201" s="90"/>
      <c r="B201" s="88"/>
      <c r="C201" s="89"/>
      <c r="D201" s="18"/>
      <c r="E201" s="18"/>
      <c r="F201" s="18"/>
      <c r="G201" s="18"/>
      <c r="H201" s="89"/>
      <c r="I201" s="18"/>
      <c r="J201" s="18"/>
      <c r="K201" s="18"/>
      <c r="L201" s="89"/>
      <c r="M201" s="18"/>
      <c r="N201" s="18"/>
      <c r="O201" s="18"/>
      <c r="P201" s="18"/>
      <c r="Q201" s="18"/>
      <c r="R201" s="29"/>
      <c r="S201" s="18"/>
      <c r="T201" s="18"/>
      <c r="U201" s="18"/>
      <c r="V201" s="89"/>
      <c r="W201" s="18"/>
      <c r="X201" s="18"/>
      <c r="Y201" s="18"/>
      <c r="Z201" s="89"/>
      <c r="AA201" s="18"/>
      <c r="AB201" s="18"/>
      <c r="AC201" s="18"/>
      <c r="AD201" s="18"/>
      <c r="AE201" s="18"/>
      <c r="AF201" s="171"/>
      <c r="AG201" s="171"/>
    </row>
    <row r="202" spans="1:33" s="1" customFormat="1" ht="19.5" customHeight="1">
      <c r="A202" s="90"/>
      <c r="B202" s="88"/>
      <c r="C202" s="89"/>
      <c r="D202" s="18"/>
      <c r="E202" s="18"/>
      <c r="F202" s="18"/>
      <c r="G202" s="18"/>
      <c r="H202" s="89"/>
      <c r="I202" s="18"/>
      <c r="J202" s="18"/>
      <c r="K202" s="18"/>
      <c r="L202" s="89"/>
      <c r="M202" s="18"/>
      <c r="N202" s="18"/>
      <c r="O202" s="18"/>
      <c r="P202" s="18"/>
      <c r="Q202" s="18"/>
      <c r="R202" s="29"/>
      <c r="S202" s="18"/>
      <c r="T202" s="18"/>
      <c r="U202" s="18"/>
      <c r="V202" s="89"/>
      <c r="W202" s="18"/>
      <c r="X202" s="18"/>
      <c r="Y202" s="18"/>
      <c r="Z202" s="89"/>
      <c r="AA202" s="18"/>
      <c r="AB202" s="18"/>
      <c r="AC202" s="18"/>
      <c r="AD202" s="18"/>
      <c r="AE202" s="18"/>
      <c r="AF202" s="171"/>
      <c r="AG202" s="171"/>
    </row>
    <row r="203" spans="1:33" s="1" customFormat="1" ht="19.5" customHeight="1">
      <c r="A203" s="90"/>
      <c r="B203" s="88"/>
      <c r="C203" s="89"/>
      <c r="D203" s="18"/>
      <c r="E203" s="18"/>
      <c r="F203" s="18"/>
      <c r="G203" s="18"/>
      <c r="H203" s="89"/>
      <c r="I203" s="18"/>
      <c r="J203" s="18"/>
      <c r="K203" s="18"/>
      <c r="L203" s="89"/>
      <c r="M203" s="18"/>
      <c r="N203" s="18"/>
      <c r="O203" s="18"/>
      <c r="P203" s="18"/>
      <c r="Q203" s="18"/>
      <c r="R203" s="29"/>
      <c r="S203" s="18"/>
      <c r="T203" s="18"/>
      <c r="U203" s="18"/>
      <c r="V203" s="89"/>
      <c r="W203" s="18"/>
      <c r="X203" s="18"/>
      <c r="Y203" s="18"/>
      <c r="Z203" s="89"/>
      <c r="AA203" s="18"/>
      <c r="AB203" s="18"/>
      <c r="AC203" s="18"/>
      <c r="AD203" s="18"/>
      <c r="AE203" s="18"/>
      <c r="AF203" s="171"/>
      <c r="AG203" s="171"/>
    </row>
    <row r="204" spans="1:33" s="1" customFormat="1" ht="19.5" customHeight="1">
      <c r="A204" s="90"/>
      <c r="B204" s="88"/>
      <c r="C204" s="89"/>
      <c r="D204" s="18"/>
      <c r="E204" s="18"/>
      <c r="F204" s="18"/>
      <c r="G204" s="18"/>
      <c r="H204" s="89"/>
      <c r="I204" s="18"/>
      <c r="J204" s="18"/>
      <c r="K204" s="18"/>
      <c r="L204" s="89"/>
      <c r="M204" s="18"/>
      <c r="N204" s="18"/>
      <c r="O204" s="18"/>
      <c r="P204" s="18"/>
      <c r="Q204" s="18"/>
      <c r="R204" s="29"/>
      <c r="S204" s="18"/>
      <c r="T204" s="18"/>
      <c r="U204" s="18"/>
      <c r="V204" s="89"/>
      <c r="W204" s="18"/>
      <c r="X204" s="18"/>
      <c r="Y204" s="18"/>
      <c r="Z204" s="89"/>
      <c r="AA204" s="18"/>
      <c r="AB204" s="18"/>
      <c r="AC204" s="18"/>
      <c r="AD204" s="18"/>
      <c r="AE204" s="18"/>
      <c r="AF204" s="171"/>
      <c r="AG204" s="171"/>
    </row>
    <row r="205" spans="1:33" s="1" customFormat="1" ht="19.5" customHeight="1">
      <c r="A205" s="90"/>
      <c r="B205" s="88"/>
      <c r="C205" s="89"/>
      <c r="D205" s="18"/>
      <c r="E205" s="18"/>
      <c r="F205" s="18"/>
      <c r="G205" s="18"/>
      <c r="H205" s="89"/>
      <c r="I205" s="18"/>
      <c r="J205" s="18"/>
      <c r="K205" s="18"/>
      <c r="L205" s="89"/>
      <c r="M205" s="18"/>
      <c r="N205" s="18"/>
      <c r="O205" s="18"/>
      <c r="P205" s="18"/>
      <c r="Q205" s="18"/>
      <c r="R205" s="29"/>
      <c r="S205" s="18"/>
      <c r="T205" s="18"/>
      <c r="U205" s="18"/>
      <c r="V205" s="89"/>
      <c r="W205" s="18"/>
      <c r="X205" s="18"/>
      <c r="Y205" s="18"/>
      <c r="Z205" s="89"/>
      <c r="AA205" s="18"/>
      <c r="AB205" s="18"/>
      <c r="AC205" s="18"/>
      <c r="AD205" s="18"/>
      <c r="AE205" s="18"/>
      <c r="AF205" s="171"/>
      <c r="AG205" s="171"/>
    </row>
    <row r="206" spans="1:33" s="1" customFormat="1" ht="19.5" customHeight="1">
      <c r="A206" s="90"/>
      <c r="B206" s="88"/>
      <c r="C206" s="89"/>
      <c r="D206" s="18"/>
      <c r="E206" s="18"/>
      <c r="F206" s="18"/>
      <c r="G206" s="18"/>
      <c r="H206" s="89"/>
      <c r="I206" s="18"/>
      <c r="J206" s="18"/>
      <c r="K206" s="18"/>
      <c r="L206" s="89"/>
      <c r="M206" s="18"/>
      <c r="N206" s="18"/>
      <c r="O206" s="18"/>
      <c r="P206" s="18"/>
      <c r="Q206" s="18"/>
      <c r="R206" s="29"/>
      <c r="S206" s="18"/>
      <c r="T206" s="18"/>
      <c r="U206" s="18"/>
      <c r="V206" s="89"/>
      <c r="W206" s="18"/>
      <c r="X206" s="18"/>
      <c r="Y206" s="18"/>
      <c r="Z206" s="89"/>
      <c r="AA206" s="18"/>
      <c r="AB206" s="18"/>
      <c r="AC206" s="18"/>
      <c r="AD206" s="18"/>
      <c r="AE206" s="18"/>
      <c r="AF206" s="171"/>
      <c r="AG206" s="171"/>
    </row>
    <row r="207" spans="1:33" s="1" customFormat="1" ht="19.5" customHeight="1">
      <c r="A207" s="90"/>
      <c r="B207" s="88"/>
      <c r="C207" s="89"/>
      <c r="D207" s="18"/>
      <c r="E207" s="18"/>
      <c r="F207" s="18"/>
      <c r="G207" s="18"/>
      <c r="H207" s="89"/>
      <c r="I207" s="18"/>
      <c r="J207" s="18"/>
      <c r="K207" s="18"/>
      <c r="L207" s="89"/>
      <c r="M207" s="18"/>
      <c r="N207" s="18"/>
      <c r="O207" s="18"/>
      <c r="P207" s="18"/>
      <c r="Q207" s="18"/>
      <c r="R207" s="29"/>
      <c r="S207" s="18"/>
      <c r="T207" s="18"/>
      <c r="U207" s="18"/>
      <c r="V207" s="89"/>
      <c r="W207" s="18"/>
      <c r="X207" s="18"/>
      <c r="Y207" s="18"/>
      <c r="Z207" s="89"/>
      <c r="AA207" s="18"/>
      <c r="AB207" s="18"/>
      <c r="AC207" s="18"/>
      <c r="AD207" s="18"/>
      <c r="AE207" s="18"/>
      <c r="AF207" s="171"/>
      <c r="AG207" s="171"/>
    </row>
    <row r="208" spans="1:33" s="1" customFormat="1" ht="19.5" customHeight="1">
      <c r="A208" s="90"/>
      <c r="B208" s="88"/>
      <c r="C208" s="89"/>
      <c r="D208" s="18"/>
      <c r="E208" s="18"/>
      <c r="F208" s="18"/>
      <c r="G208" s="18"/>
      <c r="H208" s="89"/>
      <c r="I208" s="18"/>
      <c r="J208" s="18"/>
      <c r="K208" s="18"/>
      <c r="L208" s="89"/>
      <c r="M208" s="18"/>
      <c r="N208" s="18"/>
      <c r="O208" s="18"/>
      <c r="P208" s="18"/>
      <c r="Q208" s="18"/>
      <c r="R208" s="29"/>
      <c r="S208" s="18"/>
      <c r="T208" s="18"/>
      <c r="U208" s="18"/>
      <c r="V208" s="89"/>
      <c r="W208" s="18"/>
      <c r="X208" s="18"/>
      <c r="Y208" s="18"/>
      <c r="Z208" s="89"/>
      <c r="AA208" s="18"/>
      <c r="AB208" s="18"/>
      <c r="AC208" s="18"/>
      <c r="AD208" s="18"/>
      <c r="AE208" s="18"/>
      <c r="AF208" s="171"/>
      <c r="AG208" s="171"/>
    </row>
    <row r="209" spans="1:33" s="1" customFormat="1" ht="19.5" customHeight="1">
      <c r="A209" s="90"/>
      <c r="B209" s="88"/>
      <c r="C209" s="89"/>
      <c r="D209" s="18"/>
      <c r="E209" s="18"/>
      <c r="F209" s="18"/>
      <c r="G209" s="18"/>
      <c r="H209" s="89"/>
      <c r="I209" s="18"/>
      <c r="J209" s="18"/>
      <c r="K209" s="18"/>
      <c r="L209" s="89"/>
      <c r="M209" s="18"/>
      <c r="N209" s="18"/>
      <c r="O209" s="18"/>
      <c r="P209" s="18"/>
      <c r="Q209" s="18"/>
      <c r="R209" s="29"/>
      <c r="S209" s="18"/>
      <c r="T209" s="18"/>
      <c r="U209" s="18"/>
      <c r="V209" s="89"/>
      <c r="W209" s="18"/>
      <c r="X209" s="18"/>
      <c r="Y209" s="18"/>
      <c r="Z209" s="89"/>
      <c r="AA209" s="18"/>
      <c r="AB209" s="18"/>
      <c r="AC209" s="18"/>
      <c r="AD209" s="18"/>
      <c r="AE209" s="18"/>
      <c r="AF209" s="171"/>
      <c r="AG209" s="171"/>
    </row>
    <row r="210" spans="1:33" s="1" customFormat="1" ht="19.5" customHeight="1">
      <c r="A210" s="90"/>
      <c r="B210" s="88"/>
      <c r="C210" s="89"/>
      <c r="D210" s="18"/>
      <c r="E210" s="18"/>
      <c r="F210" s="18"/>
      <c r="G210" s="18"/>
      <c r="H210" s="89"/>
      <c r="I210" s="18"/>
      <c r="J210" s="18"/>
      <c r="K210" s="18"/>
      <c r="L210" s="89"/>
      <c r="M210" s="18"/>
      <c r="N210" s="18"/>
      <c r="O210" s="18"/>
      <c r="P210" s="18"/>
      <c r="Q210" s="18"/>
      <c r="R210" s="29"/>
      <c r="S210" s="18"/>
      <c r="T210" s="18"/>
      <c r="U210" s="18"/>
      <c r="V210" s="89"/>
      <c r="W210" s="18"/>
      <c r="X210" s="18"/>
      <c r="Y210" s="18"/>
      <c r="Z210" s="89"/>
      <c r="AA210" s="18"/>
      <c r="AB210" s="18"/>
      <c r="AC210" s="18"/>
      <c r="AD210" s="18"/>
      <c r="AE210" s="18"/>
      <c r="AF210" s="171"/>
      <c r="AG210" s="171"/>
    </row>
    <row r="211" spans="1:33" s="1" customFormat="1" ht="19.5" customHeight="1">
      <c r="A211" s="90"/>
      <c r="B211" s="88"/>
      <c r="C211" s="89"/>
      <c r="D211" s="18"/>
      <c r="E211" s="18"/>
      <c r="F211" s="18"/>
      <c r="G211" s="18"/>
      <c r="H211" s="89"/>
      <c r="I211" s="18"/>
      <c r="J211" s="18"/>
      <c r="K211" s="18"/>
      <c r="L211" s="89"/>
      <c r="M211" s="18"/>
      <c r="N211" s="18"/>
      <c r="O211" s="18"/>
      <c r="P211" s="18"/>
      <c r="Q211" s="18"/>
      <c r="R211" s="29"/>
      <c r="S211" s="18"/>
      <c r="T211" s="18"/>
      <c r="U211" s="18"/>
      <c r="V211" s="89"/>
      <c r="W211" s="18"/>
      <c r="X211" s="18"/>
      <c r="Y211" s="18"/>
      <c r="Z211" s="89"/>
      <c r="AA211" s="18"/>
      <c r="AB211" s="18"/>
      <c r="AC211" s="18"/>
      <c r="AD211" s="18"/>
      <c r="AE211" s="18"/>
      <c r="AF211" s="171"/>
      <c r="AG211" s="171"/>
    </row>
    <row r="212" spans="1:33" s="1" customFormat="1" ht="19.5" customHeight="1">
      <c r="A212" s="90"/>
      <c r="B212" s="88"/>
      <c r="C212" s="89"/>
      <c r="D212" s="18"/>
      <c r="E212" s="18"/>
      <c r="F212" s="18"/>
      <c r="G212" s="18"/>
      <c r="H212" s="89"/>
      <c r="I212" s="18"/>
      <c r="J212" s="18"/>
      <c r="K212" s="18"/>
      <c r="L212" s="89"/>
      <c r="M212" s="18"/>
      <c r="N212" s="18"/>
      <c r="O212" s="18"/>
      <c r="P212" s="18"/>
      <c r="Q212" s="18"/>
      <c r="R212" s="29"/>
      <c r="S212" s="18"/>
      <c r="T212" s="18"/>
      <c r="U212" s="18"/>
      <c r="V212" s="89"/>
      <c r="W212" s="18"/>
      <c r="X212" s="18"/>
      <c r="Y212" s="18"/>
      <c r="Z212" s="89"/>
      <c r="AA212" s="18"/>
      <c r="AB212" s="18"/>
      <c r="AC212" s="18"/>
      <c r="AD212" s="18"/>
      <c r="AE212" s="18"/>
      <c r="AF212" s="171"/>
      <c r="AG212" s="171"/>
    </row>
    <row r="213" spans="1:33" s="1" customFormat="1" ht="19.5" customHeight="1">
      <c r="A213" s="90"/>
      <c r="B213" s="88"/>
      <c r="C213" s="89"/>
      <c r="D213" s="18"/>
      <c r="E213" s="18"/>
      <c r="F213" s="18"/>
      <c r="G213" s="18"/>
      <c r="H213" s="89"/>
      <c r="I213" s="18"/>
      <c r="J213" s="18"/>
      <c r="K213" s="18"/>
      <c r="L213" s="89"/>
      <c r="M213" s="18"/>
      <c r="N213" s="18"/>
      <c r="O213" s="18"/>
      <c r="P213" s="18"/>
      <c r="Q213" s="18"/>
      <c r="R213" s="29"/>
      <c r="S213" s="18"/>
      <c r="T213" s="18"/>
      <c r="U213" s="18"/>
      <c r="V213" s="89"/>
      <c r="W213" s="18"/>
      <c r="X213" s="18"/>
      <c r="Y213" s="18"/>
      <c r="Z213" s="89"/>
      <c r="AA213" s="18"/>
      <c r="AB213" s="18"/>
      <c r="AC213" s="18"/>
      <c r="AD213" s="18"/>
      <c r="AE213" s="18"/>
      <c r="AF213" s="171"/>
      <c r="AG213" s="171"/>
    </row>
    <row r="214" spans="1:33" s="1" customFormat="1" ht="19.5" customHeight="1">
      <c r="A214" s="90"/>
      <c r="B214" s="88"/>
      <c r="C214" s="89"/>
      <c r="D214" s="18"/>
      <c r="E214" s="18"/>
      <c r="F214" s="18"/>
      <c r="G214" s="18"/>
      <c r="H214" s="89"/>
      <c r="I214" s="18"/>
      <c r="J214" s="18"/>
      <c r="K214" s="18"/>
      <c r="L214" s="89"/>
      <c r="M214" s="18"/>
      <c r="N214" s="18"/>
      <c r="O214" s="18"/>
      <c r="P214" s="18"/>
      <c r="Q214" s="18"/>
      <c r="R214" s="29"/>
      <c r="S214" s="18"/>
      <c r="T214" s="18"/>
      <c r="U214" s="18"/>
      <c r="V214" s="89"/>
      <c r="W214" s="18"/>
      <c r="X214" s="18"/>
      <c r="Y214" s="18"/>
      <c r="Z214" s="89"/>
      <c r="AA214" s="18"/>
      <c r="AB214" s="18"/>
      <c r="AC214" s="18"/>
      <c r="AD214" s="18"/>
      <c r="AE214" s="18"/>
      <c r="AF214" s="171"/>
      <c r="AG214" s="171"/>
    </row>
    <row r="215" spans="1:33" s="1" customFormat="1" ht="19.5" customHeight="1">
      <c r="A215" s="90"/>
      <c r="B215" s="88"/>
      <c r="C215" s="89"/>
      <c r="D215" s="18"/>
      <c r="E215" s="18"/>
      <c r="F215" s="18"/>
      <c r="G215" s="18"/>
      <c r="H215" s="89"/>
      <c r="I215" s="18"/>
      <c r="J215" s="18"/>
      <c r="K215" s="18"/>
      <c r="L215" s="89"/>
      <c r="M215" s="18"/>
      <c r="N215" s="18"/>
      <c r="O215" s="18"/>
      <c r="P215" s="18"/>
      <c r="Q215" s="18"/>
      <c r="R215" s="29"/>
      <c r="S215" s="18"/>
      <c r="T215" s="18"/>
      <c r="U215" s="18"/>
      <c r="V215" s="89"/>
      <c r="W215" s="18"/>
      <c r="X215" s="18"/>
      <c r="Y215" s="18"/>
      <c r="Z215" s="89"/>
      <c r="AA215" s="18"/>
      <c r="AB215" s="18"/>
      <c r="AC215" s="18"/>
      <c r="AD215" s="18"/>
      <c r="AE215" s="18"/>
      <c r="AF215" s="171"/>
      <c r="AG215" s="171"/>
    </row>
    <row r="216" spans="1:33" s="1" customFormat="1" ht="19.5" customHeight="1">
      <c r="A216" s="90"/>
      <c r="B216" s="88"/>
      <c r="C216" s="89"/>
      <c r="D216" s="18"/>
      <c r="E216" s="18"/>
      <c r="F216" s="18"/>
      <c r="G216" s="18"/>
      <c r="H216" s="89"/>
      <c r="I216" s="18"/>
      <c r="J216" s="18"/>
      <c r="K216" s="18"/>
      <c r="L216" s="89"/>
      <c r="M216" s="18"/>
      <c r="N216" s="18"/>
      <c r="O216" s="18"/>
      <c r="P216" s="18"/>
      <c r="Q216" s="18"/>
      <c r="R216" s="29"/>
      <c r="S216" s="18"/>
      <c r="T216" s="18"/>
      <c r="U216" s="18"/>
      <c r="V216" s="89"/>
      <c r="W216" s="18"/>
      <c r="X216" s="18"/>
      <c r="Y216" s="18"/>
      <c r="Z216" s="89"/>
      <c r="AA216" s="18"/>
      <c r="AB216" s="18"/>
      <c r="AC216" s="18"/>
      <c r="AD216" s="18"/>
      <c r="AE216" s="18"/>
      <c r="AF216" s="171"/>
      <c r="AG216" s="171"/>
    </row>
    <row r="217" spans="1:33" s="1" customFormat="1" ht="19.5" customHeight="1">
      <c r="A217" s="90"/>
      <c r="B217" s="88"/>
      <c r="C217" s="89"/>
      <c r="D217" s="18"/>
      <c r="E217" s="18"/>
      <c r="F217" s="18"/>
      <c r="G217" s="18"/>
      <c r="H217" s="89"/>
      <c r="I217" s="18"/>
      <c r="J217" s="18"/>
      <c r="K217" s="18"/>
      <c r="L217" s="89"/>
      <c r="M217" s="18"/>
      <c r="N217" s="18"/>
      <c r="O217" s="18"/>
      <c r="P217" s="18"/>
      <c r="Q217" s="18"/>
      <c r="R217" s="29"/>
      <c r="S217" s="18"/>
      <c r="T217" s="18"/>
      <c r="U217" s="18"/>
      <c r="V217" s="89"/>
      <c r="W217" s="18"/>
      <c r="X217" s="18"/>
      <c r="Y217" s="18"/>
      <c r="Z217" s="89"/>
      <c r="AA217" s="18"/>
      <c r="AB217" s="18"/>
      <c r="AC217" s="18"/>
      <c r="AD217" s="18"/>
      <c r="AE217" s="18"/>
      <c r="AF217" s="171"/>
      <c r="AG217" s="171"/>
    </row>
    <row r="218" spans="1:33" s="1" customFormat="1" ht="19.5" customHeight="1">
      <c r="A218" s="90"/>
      <c r="B218" s="88"/>
      <c r="C218" s="89"/>
      <c r="D218" s="18"/>
      <c r="E218" s="18"/>
      <c r="F218" s="18"/>
      <c r="G218" s="18"/>
      <c r="H218" s="89"/>
      <c r="I218" s="18"/>
      <c r="J218" s="18"/>
      <c r="K218" s="18"/>
      <c r="L218" s="89"/>
      <c r="M218" s="18"/>
      <c r="N218" s="18"/>
      <c r="O218" s="18"/>
      <c r="P218" s="18"/>
      <c r="Q218" s="18"/>
      <c r="R218" s="29"/>
      <c r="S218" s="18"/>
      <c r="T218" s="18"/>
      <c r="U218" s="18"/>
      <c r="V218" s="89"/>
      <c r="W218" s="18"/>
      <c r="X218" s="18"/>
      <c r="Y218" s="18"/>
      <c r="Z218" s="89"/>
      <c r="AA218" s="18"/>
      <c r="AB218" s="18"/>
      <c r="AC218" s="18"/>
      <c r="AD218" s="18"/>
      <c r="AE218" s="18"/>
      <c r="AF218" s="171"/>
      <c r="AG218" s="171"/>
    </row>
    <row r="219" spans="1:33" s="1" customFormat="1" ht="19.5" customHeight="1">
      <c r="A219" s="90"/>
      <c r="B219" s="88"/>
      <c r="C219" s="89"/>
      <c r="D219" s="18"/>
      <c r="E219" s="18"/>
      <c r="F219" s="18"/>
      <c r="G219" s="18"/>
      <c r="H219" s="89"/>
      <c r="I219" s="18"/>
      <c r="J219" s="18"/>
      <c r="K219" s="18"/>
      <c r="L219" s="89"/>
      <c r="M219" s="18"/>
      <c r="N219" s="18"/>
      <c r="O219" s="18"/>
      <c r="P219" s="18"/>
      <c r="Q219" s="18"/>
      <c r="R219" s="29"/>
      <c r="S219" s="18"/>
      <c r="T219" s="18"/>
      <c r="U219" s="18"/>
      <c r="V219" s="89"/>
      <c r="W219" s="18"/>
      <c r="X219" s="18"/>
      <c r="Y219" s="18"/>
      <c r="Z219" s="89"/>
      <c r="AA219" s="18"/>
      <c r="AB219" s="18"/>
      <c r="AC219" s="18"/>
      <c r="AD219" s="18"/>
      <c r="AE219" s="18"/>
      <c r="AF219" s="171"/>
      <c r="AG219" s="171"/>
    </row>
    <row r="220" spans="1:33" s="1" customFormat="1" ht="19.5" customHeight="1">
      <c r="A220" s="90"/>
      <c r="B220" s="88"/>
      <c r="C220" s="89"/>
      <c r="D220" s="18"/>
      <c r="E220" s="18"/>
      <c r="F220" s="18"/>
      <c r="G220" s="18"/>
      <c r="H220" s="89"/>
      <c r="I220" s="18"/>
      <c r="J220" s="18"/>
      <c r="K220" s="18"/>
      <c r="L220" s="89"/>
      <c r="M220" s="18"/>
      <c r="N220" s="18"/>
      <c r="O220" s="18"/>
      <c r="P220" s="18"/>
      <c r="Q220" s="18"/>
      <c r="R220" s="29"/>
      <c r="S220" s="18"/>
      <c r="T220" s="18"/>
      <c r="U220" s="18"/>
      <c r="V220" s="89"/>
      <c r="W220" s="18"/>
      <c r="X220" s="18"/>
      <c r="Y220" s="18"/>
      <c r="Z220" s="89"/>
      <c r="AA220" s="18"/>
      <c r="AB220" s="18"/>
      <c r="AC220" s="18"/>
      <c r="AD220" s="18"/>
      <c r="AE220" s="18"/>
      <c r="AF220" s="171"/>
      <c r="AG220" s="171"/>
    </row>
    <row r="221" spans="1:33" s="1" customFormat="1" ht="19.5" customHeight="1">
      <c r="A221" s="90"/>
      <c r="B221" s="88"/>
      <c r="C221" s="89"/>
      <c r="D221" s="18"/>
      <c r="E221" s="18"/>
      <c r="F221" s="18"/>
      <c r="G221" s="18"/>
      <c r="H221" s="89"/>
      <c r="I221" s="18"/>
      <c r="J221" s="18"/>
      <c r="K221" s="18"/>
      <c r="L221" s="89"/>
      <c r="M221" s="18"/>
      <c r="N221" s="18"/>
      <c r="O221" s="18"/>
      <c r="P221" s="18"/>
      <c r="Q221" s="18"/>
      <c r="R221" s="29"/>
      <c r="S221" s="18"/>
      <c r="T221" s="18"/>
      <c r="U221" s="18"/>
      <c r="V221" s="89"/>
      <c r="W221" s="18"/>
      <c r="X221" s="18"/>
      <c r="Y221" s="18"/>
      <c r="Z221" s="89"/>
      <c r="AA221" s="18"/>
      <c r="AB221" s="18"/>
      <c r="AC221" s="18"/>
      <c r="AD221" s="18"/>
      <c r="AE221" s="18"/>
      <c r="AF221" s="171"/>
      <c r="AG221" s="171"/>
    </row>
    <row r="222" spans="1:33" s="1" customFormat="1" ht="19.5" customHeight="1">
      <c r="A222" s="90"/>
      <c r="B222" s="88"/>
      <c r="C222" s="89"/>
      <c r="D222" s="18"/>
      <c r="E222" s="18"/>
      <c r="F222" s="18"/>
      <c r="G222" s="18"/>
      <c r="H222" s="89"/>
      <c r="I222" s="18"/>
      <c r="J222" s="18"/>
      <c r="K222" s="18"/>
      <c r="L222" s="89"/>
      <c r="M222" s="18"/>
      <c r="N222" s="18"/>
      <c r="O222" s="18"/>
      <c r="P222" s="18"/>
      <c r="Q222" s="18"/>
      <c r="R222" s="29"/>
      <c r="S222" s="18"/>
      <c r="T222" s="18"/>
      <c r="U222" s="18"/>
      <c r="V222" s="89"/>
      <c r="W222" s="18"/>
      <c r="X222" s="18"/>
      <c r="Y222" s="18"/>
      <c r="Z222" s="89"/>
      <c r="AA222" s="18"/>
      <c r="AB222" s="18"/>
      <c r="AC222" s="18"/>
      <c r="AD222" s="18"/>
      <c r="AE222" s="18"/>
      <c r="AF222" s="171"/>
      <c r="AG222" s="171"/>
    </row>
    <row r="223" spans="1:33" s="1" customFormat="1" ht="19.5" customHeight="1">
      <c r="A223" s="90"/>
      <c r="B223" s="88"/>
      <c r="C223" s="89"/>
      <c r="D223" s="18"/>
      <c r="E223" s="18"/>
      <c r="F223" s="18"/>
      <c r="G223" s="18"/>
      <c r="H223" s="89"/>
      <c r="I223" s="18"/>
      <c r="J223" s="18"/>
      <c r="K223" s="18"/>
      <c r="L223" s="89"/>
      <c r="M223" s="18"/>
      <c r="N223" s="18"/>
      <c r="O223" s="18"/>
      <c r="P223" s="18"/>
      <c r="Q223" s="18"/>
      <c r="R223" s="29"/>
      <c r="S223" s="18"/>
      <c r="T223" s="18"/>
      <c r="U223" s="18"/>
      <c r="V223" s="89"/>
      <c r="W223" s="18"/>
      <c r="X223" s="18"/>
      <c r="Y223" s="18"/>
      <c r="Z223" s="89"/>
      <c r="AA223" s="18"/>
      <c r="AB223" s="18"/>
      <c r="AC223" s="18"/>
      <c r="AD223" s="18"/>
      <c r="AE223" s="18"/>
      <c r="AF223" s="171"/>
      <c r="AG223" s="171"/>
    </row>
    <row r="224" spans="1:33" s="1" customFormat="1" ht="19.5" customHeight="1">
      <c r="A224" s="90"/>
      <c r="B224" s="88"/>
      <c r="C224" s="89"/>
      <c r="D224" s="18"/>
      <c r="E224" s="18"/>
      <c r="F224" s="18"/>
      <c r="G224" s="18"/>
      <c r="H224" s="89"/>
      <c r="I224" s="18"/>
      <c r="J224" s="18"/>
      <c r="K224" s="18"/>
      <c r="L224" s="89"/>
      <c r="M224" s="18"/>
      <c r="N224" s="18"/>
      <c r="O224" s="18"/>
      <c r="P224" s="18"/>
      <c r="Q224" s="18"/>
      <c r="R224" s="29"/>
      <c r="S224" s="18"/>
      <c r="T224" s="18"/>
      <c r="U224" s="18"/>
      <c r="V224" s="89"/>
      <c r="W224" s="18"/>
      <c r="X224" s="18"/>
      <c r="Y224" s="18"/>
      <c r="Z224" s="89"/>
      <c r="AA224" s="18"/>
      <c r="AB224" s="18"/>
      <c r="AC224" s="18"/>
      <c r="AD224" s="18"/>
      <c r="AE224" s="18"/>
      <c r="AF224" s="171"/>
      <c r="AG224" s="171"/>
    </row>
    <row r="225" spans="1:33" s="1" customFormat="1" ht="19.5" customHeight="1">
      <c r="A225" s="90"/>
      <c r="B225" s="88"/>
      <c r="C225" s="89"/>
      <c r="D225" s="18"/>
      <c r="E225" s="18"/>
      <c r="F225" s="18"/>
      <c r="G225" s="18"/>
      <c r="H225" s="89"/>
      <c r="I225" s="18"/>
      <c r="J225" s="18"/>
      <c r="K225" s="18"/>
      <c r="L225" s="89"/>
      <c r="M225" s="18"/>
      <c r="N225" s="18"/>
      <c r="O225" s="18"/>
      <c r="P225" s="18"/>
      <c r="Q225" s="18"/>
      <c r="R225" s="29"/>
      <c r="S225" s="18"/>
      <c r="T225" s="18"/>
      <c r="U225" s="18"/>
      <c r="V225" s="89"/>
      <c r="W225" s="18"/>
      <c r="X225" s="18"/>
      <c r="Y225" s="18"/>
      <c r="Z225" s="89"/>
      <c r="AA225" s="18"/>
      <c r="AB225" s="18"/>
      <c r="AC225" s="18"/>
      <c r="AD225" s="18"/>
      <c r="AE225" s="18"/>
      <c r="AF225" s="171"/>
      <c r="AG225" s="171"/>
    </row>
    <row r="226" spans="1:33" s="1" customFormat="1" ht="19.5" customHeight="1">
      <c r="A226" s="90"/>
      <c r="B226" s="88"/>
      <c r="C226" s="89"/>
      <c r="D226" s="18"/>
      <c r="E226" s="18"/>
      <c r="F226" s="18"/>
      <c r="G226" s="18"/>
      <c r="H226" s="89"/>
      <c r="I226" s="18"/>
      <c r="J226" s="18"/>
      <c r="K226" s="18"/>
      <c r="L226" s="89"/>
      <c r="M226" s="18"/>
      <c r="N226" s="18"/>
      <c r="O226" s="18"/>
      <c r="P226" s="18"/>
      <c r="Q226" s="18"/>
      <c r="R226" s="29"/>
      <c r="S226" s="18"/>
      <c r="T226" s="18"/>
      <c r="U226" s="18"/>
      <c r="V226" s="89"/>
      <c r="W226" s="18"/>
      <c r="X226" s="18"/>
      <c r="Y226" s="18"/>
      <c r="Z226" s="89"/>
      <c r="AA226" s="18"/>
      <c r="AB226" s="18"/>
      <c r="AC226" s="18"/>
      <c r="AD226" s="18"/>
      <c r="AE226" s="18"/>
      <c r="AF226" s="171"/>
      <c r="AG226" s="171"/>
    </row>
    <row r="227" spans="1:33" s="1" customFormat="1" ht="19.5" customHeight="1">
      <c r="A227" s="90"/>
      <c r="B227" s="88"/>
      <c r="C227" s="89"/>
      <c r="D227" s="18"/>
      <c r="E227" s="18"/>
      <c r="F227" s="18"/>
      <c r="G227" s="18"/>
      <c r="H227" s="89"/>
      <c r="I227" s="18"/>
      <c r="J227" s="18"/>
      <c r="K227" s="18"/>
      <c r="L227" s="89"/>
      <c r="M227" s="18"/>
      <c r="N227" s="18"/>
      <c r="O227" s="18"/>
      <c r="P227" s="18"/>
      <c r="Q227" s="18"/>
      <c r="R227" s="29"/>
      <c r="S227" s="18"/>
      <c r="T227" s="18"/>
      <c r="U227" s="18"/>
      <c r="V227" s="89"/>
      <c r="W227" s="18"/>
      <c r="X227" s="18"/>
      <c r="Y227" s="18"/>
      <c r="Z227" s="89"/>
      <c r="AA227" s="18"/>
      <c r="AB227" s="18"/>
      <c r="AC227" s="18"/>
      <c r="AD227" s="18"/>
      <c r="AE227" s="18"/>
      <c r="AF227" s="171"/>
      <c r="AG227" s="171"/>
    </row>
    <row r="228" spans="1:33" s="1" customFormat="1" ht="19.5" customHeight="1">
      <c r="A228" s="90"/>
      <c r="B228" s="88"/>
      <c r="C228" s="89"/>
      <c r="D228" s="18"/>
      <c r="E228" s="18"/>
      <c r="F228" s="18"/>
      <c r="G228" s="18"/>
      <c r="H228" s="89"/>
      <c r="I228" s="18"/>
      <c r="J228" s="18"/>
      <c r="K228" s="18"/>
      <c r="L228" s="89"/>
      <c r="M228" s="18"/>
      <c r="N228" s="18"/>
      <c r="O228" s="18"/>
      <c r="P228" s="18"/>
      <c r="Q228" s="18"/>
      <c r="R228" s="29"/>
      <c r="S228" s="18"/>
      <c r="T228" s="18"/>
      <c r="U228" s="18"/>
      <c r="V228" s="89"/>
      <c r="W228" s="18"/>
      <c r="X228" s="18"/>
      <c r="Y228" s="18"/>
      <c r="Z228" s="89"/>
      <c r="AA228" s="18"/>
      <c r="AB228" s="18"/>
      <c r="AC228" s="18"/>
      <c r="AD228" s="18"/>
      <c r="AE228" s="18"/>
      <c r="AF228" s="171"/>
      <c r="AG228" s="171"/>
    </row>
    <row r="229" spans="1:33" s="1" customFormat="1" ht="19.5" customHeight="1">
      <c r="A229" s="90"/>
      <c r="B229" s="88"/>
      <c r="C229" s="89"/>
      <c r="D229" s="18"/>
      <c r="E229" s="18"/>
      <c r="F229" s="18"/>
      <c r="G229" s="18"/>
      <c r="H229" s="89"/>
      <c r="I229" s="18"/>
      <c r="J229" s="18"/>
      <c r="K229" s="18"/>
      <c r="L229" s="89"/>
      <c r="M229" s="18"/>
      <c r="N229" s="18"/>
      <c r="O229" s="18"/>
      <c r="P229" s="18"/>
      <c r="Q229" s="18"/>
      <c r="R229" s="29"/>
      <c r="S229" s="18"/>
      <c r="T229" s="18"/>
      <c r="U229" s="18"/>
      <c r="V229" s="89"/>
      <c r="W229" s="18"/>
      <c r="X229" s="18"/>
      <c r="Y229" s="18"/>
      <c r="Z229" s="89"/>
      <c r="AA229" s="18"/>
      <c r="AB229" s="18"/>
      <c r="AC229" s="18"/>
      <c r="AD229" s="18"/>
      <c r="AE229" s="18"/>
      <c r="AF229" s="171"/>
      <c r="AG229" s="171"/>
    </row>
    <row r="230" spans="1:33" s="1" customFormat="1" ht="19.5" customHeight="1">
      <c r="A230" s="90"/>
      <c r="B230" s="88"/>
      <c r="C230" s="89"/>
      <c r="D230" s="18"/>
      <c r="E230" s="18"/>
      <c r="F230" s="18"/>
      <c r="G230" s="18"/>
      <c r="H230" s="89"/>
      <c r="I230" s="18"/>
      <c r="J230" s="18"/>
      <c r="K230" s="18"/>
      <c r="L230" s="89"/>
      <c r="M230" s="18"/>
      <c r="N230" s="18"/>
      <c r="O230" s="18"/>
      <c r="P230" s="18"/>
      <c r="Q230" s="18"/>
      <c r="R230" s="29"/>
      <c r="S230" s="18"/>
      <c r="T230" s="18"/>
      <c r="U230" s="18"/>
      <c r="V230" s="89"/>
      <c r="W230" s="18"/>
      <c r="X230" s="18"/>
      <c r="Y230" s="18"/>
      <c r="Z230" s="89"/>
      <c r="AA230" s="18"/>
      <c r="AB230" s="18"/>
      <c r="AC230" s="18"/>
      <c r="AD230" s="18"/>
      <c r="AE230" s="18"/>
      <c r="AF230" s="171"/>
      <c r="AG230" s="171"/>
    </row>
    <row r="231" spans="1:33" s="1" customFormat="1" ht="19.5" customHeight="1">
      <c r="A231" s="90"/>
      <c r="B231" s="88"/>
      <c r="C231" s="89"/>
      <c r="D231" s="18"/>
      <c r="E231" s="18"/>
      <c r="F231" s="18"/>
      <c r="G231" s="18"/>
      <c r="H231" s="89"/>
      <c r="I231" s="18"/>
      <c r="J231" s="18"/>
      <c r="K231" s="18"/>
      <c r="L231" s="89"/>
      <c r="M231" s="18"/>
      <c r="N231" s="18"/>
      <c r="O231" s="18"/>
      <c r="P231" s="18"/>
      <c r="Q231" s="18"/>
      <c r="R231" s="29"/>
      <c r="S231" s="18"/>
      <c r="T231" s="18"/>
      <c r="U231" s="18"/>
      <c r="V231" s="89"/>
      <c r="W231" s="18"/>
      <c r="X231" s="18"/>
      <c r="Y231" s="18"/>
      <c r="Z231" s="89"/>
      <c r="AA231" s="18"/>
      <c r="AB231" s="18"/>
      <c r="AC231" s="18"/>
      <c r="AD231" s="18"/>
      <c r="AE231" s="18"/>
      <c r="AF231" s="171"/>
      <c r="AG231" s="171"/>
    </row>
    <row r="232" spans="1:33" s="1" customFormat="1" ht="19.5" customHeight="1">
      <c r="A232" s="90"/>
      <c r="B232" s="88"/>
      <c r="C232" s="89"/>
      <c r="D232" s="18"/>
      <c r="E232" s="18"/>
      <c r="F232" s="18"/>
      <c r="G232" s="18"/>
      <c r="H232" s="89"/>
      <c r="I232" s="18"/>
      <c r="J232" s="18"/>
      <c r="K232" s="18"/>
      <c r="L232" s="89"/>
      <c r="M232" s="18"/>
      <c r="N232" s="18"/>
      <c r="O232" s="18"/>
      <c r="P232" s="18"/>
      <c r="Q232" s="18"/>
      <c r="R232" s="29"/>
      <c r="S232" s="18"/>
      <c r="T232" s="18"/>
      <c r="U232" s="18"/>
      <c r="V232" s="89"/>
      <c r="W232" s="18"/>
      <c r="X232" s="18"/>
      <c r="Y232" s="18"/>
      <c r="Z232" s="89"/>
      <c r="AA232" s="18"/>
      <c r="AB232" s="18"/>
      <c r="AC232" s="18"/>
      <c r="AD232" s="18"/>
      <c r="AE232" s="18"/>
      <c r="AF232" s="171"/>
      <c r="AG232" s="171"/>
    </row>
    <row r="233" spans="1:33" s="1" customFormat="1" ht="19.5" customHeight="1">
      <c r="A233" s="90"/>
      <c r="B233" s="88"/>
      <c r="C233" s="89"/>
      <c r="D233" s="18"/>
      <c r="E233" s="18"/>
      <c r="F233" s="18"/>
      <c r="G233" s="18"/>
      <c r="H233" s="89"/>
      <c r="I233" s="18"/>
      <c r="J233" s="18"/>
      <c r="K233" s="18"/>
      <c r="L233" s="89"/>
      <c r="M233" s="18"/>
      <c r="N233" s="18"/>
      <c r="O233" s="18"/>
      <c r="P233" s="18"/>
      <c r="Q233" s="18"/>
      <c r="R233" s="29"/>
      <c r="S233" s="18"/>
      <c r="T233" s="18"/>
      <c r="U233" s="18"/>
      <c r="V233" s="89"/>
      <c r="W233" s="18"/>
      <c r="X233" s="18"/>
      <c r="Y233" s="18"/>
      <c r="Z233" s="89"/>
      <c r="AA233" s="18"/>
      <c r="AB233" s="18"/>
      <c r="AC233" s="18"/>
      <c r="AD233" s="18"/>
      <c r="AE233" s="18"/>
      <c r="AF233" s="171"/>
      <c r="AG233" s="171"/>
    </row>
    <row r="234" spans="1:33" s="1" customFormat="1" ht="19.5" customHeight="1">
      <c r="A234" s="90"/>
      <c r="B234" s="88"/>
      <c r="C234" s="89"/>
      <c r="D234" s="18"/>
      <c r="E234" s="18"/>
      <c r="F234" s="18"/>
      <c r="G234" s="18"/>
      <c r="H234" s="89"/>
      <c r="I234" s="18"/>
      <c r="J234" s="18"/>
      <c r="K234" s="18"/>
      <c r="L234" s="89"/>
      <c r="M234" s="18"/>
      <c r="N234" s="18"/>
      <c r="O234" s="18"/>
      <c r="P234" s="18"/>
      <c r="Q234" s="18"/>
      <c r="R234" s="29"/>
      <c r="S234" s="18"/>
      <c r="T234" s="18"/>
      <c r="U234" s="18"/>
      <c r="V234" s="89"/>
      <c r="W234" s="18"/>
      <c r="X234" s="18"/>
      <c r="Y234" s="18"/>
      <c r="Z234" s="89"/>
      <c r="AA234" s="18"/>
      <c r="AB234" s="18"/>
      <c r="AC234" s="18"/>
      <c r="AD234" s="18"/>
      <c r="AE234" s="18"/>
      <c r="AF234" s="171"/>
      <c r="AG234" s="171"/>
    </row>
    <row r="235" spans="1:33" s="1" customFormat="1" ht="19.5" customHeight="1">
      <c r="A235" s="90"/>
      <c r="B235" s="88"/>
      <c r="C235" s="89"/>
      <c r="D235" s="18"/>
      <c r="E235" s="18"/>
      <c r="F235" s="18"/>
      <c r="G235" s="18"/>
      <c r="H235" s="89"/>
      <c r="I235" s="18"/>
      <c r="J235" s="18"/>
      <c r="K235" s="18"/>
      <c r="L235" s="89"/>
      <c r="M235" s="18"/>
      <c r="N235" s="18"/>
      <c r="O235" s="18"/>
      <c r="P235" s="18"/>
      <c r="Q235" s="18"/>
      <c r="R235" s="29"/>
      <c r="S235" s="18"/>
      <c r="T235" s="18"/>
      <c r="U235" s="18"/>
      <c r="V235" s="89"/>
      <c r="W235" s="18"/>
      <c r="X235" s="18"/>
      <c r="Y235" s="18"/>
      <c r="Z235" s="89"/>
      <c r="AA235" s="18"/>
      <c r="AB235" s="18"/>
      <c r="AC235" s="18"/>
      <c r="AD235" s="18"/>
      <c r="AE235" s="18"/>
      <c r="AF235" s="171"/>
      <c r="AG235" s="171"/>
    </row>
    <row r="236" spans="1:33" s="1" customFormat="1" ht="19.5" customHeight="1">
      <c r="A236" s="90"/>
      <c r="B236" s="88"/>
      <c r="C236" s="89"/>
      <c r="D236" s="18"/>
      <c r="E236" s="18"/>
      <c r="F236" s="18"/>
      <c r="G236" s="18"/>
      <c r="H236" s="89"/>
      <c r="I236" s="18"/>
      <c r="J236" s="18"/>
      <c r="K236" s="18"/>
      <c r="L236" s="89"/>
      <c r="M236" s="18"/>
      <c r="N236" s="18"/>
      <c r="O236" s="18"/>
      <c r="P236" s="18"/>
      <c r="Q236" s="18"/>
      <c r="R236" s="29"/>
      <c r="S236" s="18"/>
      <c r="T236" s="18"/>
      <c r="U236" s="18"/>
      <c r="V236" s="89"/>
      <c r="W236" s="18"/>
      <c r="X236" s="18"/>
      <c r="Y236" s="18"/>
      <c r="Z236" s="89"/>
      <c r="AA236" s="18"/>
      <c r="AB236" s="18"/>
      <c r="AC236" s="18"/>
      <c r="AD236" s="18"/>
      <c r="AE236" s="18"/>
      <c r="AF236" s="171"/>
      <c r="AG236" s="171"/>
    </row>
    <row r="237" spans="1:33" s="1" customFormat="1" ht="19.5" customHeight="1">
      <c r="A237" s="90"/>
      <c r="B237" s="88"/>
      <c r="C237" s="89"/>
      <c r="D237" s="18"/>
      <c r="E237" s="18"/>
      <c r="F237" s="18"/>
      <c r="G237" s="18"/>
      <c r="H237" s="89"/>
      <c r="I237" s="18"/>
      <c r="J237" s="18"/>
      <c r="K237" s="18"/>
      <c r="L237" s="89"/>
      <c r="M237" s="18"/>
      <c r="N237" s="18"/>
      <c r="O237" s="18"/>
      <c r="P237" s="18"/>
      <c r="Q237" s="18"/>
      <c r="R237" s="29"/>
      <c r="S237" s="18"/>
      <c r="T237" s="18"/>
      <c r="U237" s="18"/>
      <c r="V237" s="89"/>
      <c r="W237" s="18"/>
      <c r="X237" s="18"/>
      <c r="Y237" s="18"/>
      <c r="Z237" s="89"/>
      <c r="AA237" s="18"/>
      <c r="AB237" s="18"/>
      <c r="AC237" s="18"/>
      <c r="AD237" s="18"/>
      <c r="AE237" s="18"/>
      <c r="AF237" s="171"/>
      <c r="AG237" s="171"/>
    </row>
    <row r="238" spans="1:33" s="1" customFormat="1" ht="16.5">
      <c r="A238" s="90"/>
      <c r="B238" s="88"/>
      <c r="C238" s="89"/>
      <c r="D238" s="18"/>
      <c r="E238" s="18"/>
      <c r="F238" s="18"/>
      <c r="G238" s="18"/>
      <c r="H238" s="89"/>
      <c r="I238" s="18"/>
      <c r="J238" s="18"/>
      <c r="K238" s="18"/>
      <c r="L238" s="89"/>
      <c r="M238" s="18"/>
      <c r="N238" s="18"/>
      <c r="O238" s="18"/>
      <c r="P238" s="18"/>
      <c r="Q238" s="18"/>
      <c r="R238" s="29"/>
      <c r="S238" s="18"/>
      <c r="T238" s="18"/>
      <c r="U238" s="18"/>
      <c r="V238" s="89"/>
      <c r="W238" s="18"/>
      <c r="X238" s="18"/>
      <c r="Y238" s="18"/>
      <c r="Z238" s="89"/>
      <c r="AA238" s="18"/>
      <c r="AB238" s="18"/>
      <c r="AC238" s="18"/>
      <c r="AD238" s="18"/>
      <c r="AE238" s="18"/>
      <c r="AF238" s="171"/>
      <c r="AG238" s="171"/>
    </row>
    <row r="239" spans="1:33" s="1" customFormat="1" ht="16.5">
      <c r="A239" s="90"/>
      <c r="B239" s="88"/>
      <c r="C239" s="89"/>
      <c r="D239" s="18"/>
      <c r="E239" s="18"/>
      <c r="F239" s="18"/>
      <c r="G239" s="18"/>
      <c r="H239" s="89"/>
      <c r="I239" s="18"/>
      <c r="J239" s="18"/>
      <c r="K239" s="18"/>
      <c r="L239" s="89"/>
      <c r="M239" s="18"/>
      <c r="N239" s="18"/>
      <c r="O239" s="18"/>
      <c r="P239" s="18"/>
      <c r="Q239" s="18"/>
      <c r="R239" s="29"/>
      <c r="S239" s="18"/>
      <c r="T239" s="18"/>
      <c r="U239" s="18"/>
      <c r="V239" s="89"/>
      <c r="W239" s="18"/>
      <c r="X239" s="18"/>
      <c r="Y239" s="18"/>
      <c r="Z239" s="89"/>
      <c r="AA239" s="18"/>
      <c r="AB239" s="18"/>
      <c r="AC239" s="18"/>
      <c r="AD239" s="18"/>
      <c r="AE239" s="18"/>
      <c r="AF239" s="171"/>
      <c r="AG239" s="171"/>
    </row>
    <row r="240" spans="1:33" s="1" customFormat="1" ht="16.5">
      <c r="A240" s="90"/>
      <c r="B240" s="88"/>
      <c r="C240" s="89"/>
      <c r="D240" s="18"/>
      <c r="E240" s="18"/>
      <c r="F240" s="18"/>
      <c r="G240" s="18"/>
      <c r="H240" s="89"/>
      <c r="I240" s="18"/>
      <c r="J240" s="18"/>
      <c r="K240" s="18"/>
      <c r="L240" s="89"/>
      <c r="M240" s="18"/>
      <c r="N240" s="18"/>
      <c r="O240" s="18"/>
      <c r="P240" s="18"/>
      <c r="Q240" s="18"/>
      <c r="R240" s="29"/>
      <c r="S240" s="18"/>
      <c r="T240" s="18"/>
      <c r="U240" s="18"/>
      <c r="V240" s="89"/>
      <c r="W240" s="18"/>
      <c r="X240" s="18"/>
      <c r="Y240" s="18"/>
      <c r="Z240" s="89"/>
      <c r="AA240" s="18"/>
      <c r="AB240" s="18"/>
      <c r="AC240" s="18"/>
      <c r="AD240" s="18"/>
      <c r="AE240" s="18"/>
      <c r="AF240" s="171"/>
      <c r="AG240" s="171"/>
    </row>
    <row r="241" spans="1:33" s="1" customFormat="1" ht="16.5">
      <c r="A241" s="90"/>
      <c r="B241" s="88"/>
      <c r="C241" s="89"/>
      <c r="D241" s="18"/>
      <c r="E241" s="18"/>
      <c r="F241" s="18"/>
      <c r="G241" s="18"/>
      <c r="H241" s="89"/>
      <c r="I241" s="18"/>
      <c r="J241" s="18"/>
      <c r="K241" s="18"/>
      <c r="L241" s="89"/>
      <c r="M241" s="18"/>
      <c r="N241" s="18"/>
      <c r="O241" s="18"/>
      <c r="P241" s="18"/>
      <c r="Q241" s="18"/>
      <c r="R241" s="29"/>
      <c r="S241" s="18"/>
      <c r="T241" s="18"/>
      <c r="U241" s="18"/>
      <c r="V241" s="89"/>
      <c r="W241" s="18"/>
      <c r="X241" s="18"/>
      <c r="Y241" s="18"/>
      <c r="Z241" s="89"/>
      <c r="AA241" s="18"/>
      <c r="AB241" s="18"/>
      <c r="AC241" s="18"/>
      <c r="AD241" s="18"/>
      <c r="AE241" s="18"/>
      <c r="AF241" s="171"/>
      <c r="AG241" s="171"/>
    </row>
    <row r="242" spans="1:33" s="1" customFormat="1" ht="16.5">
      <c r="A242" s="90"/>
      <c r="B242" s="88"/>
      <c r="C242" s="89"/>
      <c r="D242" s="18"/>
      <c r="E242" s="18"/>
      <c r="F242" s="18"/>
      <c r="G242" s="18"/>
      <c r="H242" s="89"/>
      <c r="I242" s="18"/>
      <c r="J242" s="18"/>
      <c r="K242" s="18"/>
      <c r="L242" s="89"/>
      <c r="M242" s="18"/>
      <c r="N242" s="18"/>
      <c r="O242" s="18"/>
      <c r="P242" s="18"/>
      <c r="Q242" s="18"/>
      <c r="R242" s="29"/>
      <c r="S242" s="18"/>
      <c r="T242" s="18"/>
      <c r="U242" s="18"/>
      <c r="V242" s="89"/>
      <c r="W242" s="18"/>
      <c r="X242" s="18"/>
      <c r="Y242" s="18"/>
      <c r="Z242" s="89"/>
      <c r="AA242" s="18"/>
      <c r="AB242" s="18"/>
      <c r="AC242" s="18"/>
      <c r="AD242" s="18"/>
      <c r="AE242" s="18"/>
      <c r="AF242" s="171"/>
      <c r="AG242" s="171"/>
    </row>
    <row r="243" spans="1:33" s="1" customFormat="1" ht="16.5">
      <c r="A243" s="90"/>
      <c r="B243" s="88"/>
      <c r="C243" s="89"/>
      <c r="D243" s="18"/>
      <c r="E243" s="18"/>
      <c r="F243" s="18"/>
      <c r="G243" s="18"/>
      <c r="H243" s="89"/>
      <c r="I243" s="18"/>
      <c r="J243" s="18"/>
      <c r="K243" s="18"/>
      <c r="L243" s="89"/>
      <c r="M243" s="18"/>
      <c r="N243" s="18"/>
      <c r="O243" s="18"/>
      <c r="P243" s="18"/>
      <c r="Q243" s="18"/>
      <c r="R243" s="29"/>
      <c r="S243" s="18"/>
      <c r="T243" s="18"/>
      <c r="U243" s="18"/>
      <c r="V243" s="89"/>
      <c r="W243" s="18"/>
      <c r="X243" s="18"/>
      <c r="Y243" s="18"/>
      <c r="Z243" s="89"/>
      <c r="AA243" s="18"/>
      <c r="AB243" s="18"/>
      <c r="AC243" s="18"/>
      <c r="AD243" s="18"/>
      <c r="AE243" s="18"/>
      <c r="AF243" s="171"/>
      <c r="AG243" s="171"/>
    </row>
    <row r="244" spans="1:33" s="1" customFormat="1" ht="16.5">
      <c r="A244" s="90"/>
      <c r="B244" s="88"/>
      <c r="C244" s="89"/>
      <c r="D244" s="18"/>
      <c r="E244" s="18"/>
      <c r="F244" s="18"/>
      <c r="G244" s="18"/>
      <c r="H244" s="89"/>
      <c r="I244" s="18"/>
      <c r="J244" s="18"/>
      <c r="K244" s="18"/>
      <c r="L244" s="89"/>
      <c r="M244" s="18"/>
      <c r="N244" s="18"/>
      <c r="O244" s="18"/>
      <c r="P244" s="18"/>
      <c r="Q244" s="18"/>
      <c r="R244" s="29"/>
      <c r="S244" s="18"/>
      <c r="T244" s="18"/>
      <c r="U244" s="18"/>
      <c r="V244" s="89"/>
      <c r="W244" s="18"/>
      <c r="X244" s="18"/>
      <c r="Y244" s="18"/>
      <c r="Z244" s="89"/>
      <c r="AA244" s="18"/>
      <c r="AB244" s="18"/>
      <c r="AC244" s="18"/>
      <c r="AD244" s="18"/>
      <c r="AE244" s="18"/>
      <c r="AF244" s="171"/>
      <c r="AG244" s="171"/>
    </row>
    <row r="245" spans="1:33" s="1" customFormat="1" ht="16.5">
      <c r="A245" s="90"/>
      <c r="B245" s="88"/>
      <c r="C245" s="89"/>
      <c r="D245" s="18"/>
      <c r="E245" s="18"/>
      <c r="F245" s="18"/>
      <c r="G245" s="18"/>
      <c r="H245" s="89"/>
      <c r="I245" s="18"/>
      <c r="J245" s="18"/>
      <c r="K245" s="18"/>
      <c r="L245" s="89"/>
      <c r="M245" s="18"/>
      <c r="N245" s="18"/>
      <c r="O245" s="18"/>
      <c r="P245" s="18"/>
      <c r="Q245" s="18"/>
      <c r="R245" s="29"/>
      <c r="S245" s="18"/>
      <c r="T245" s="18"/>
      <c r="U245" s="18"/>
      <c r="V245" s="89"/>
      <c r="W245" s="18"/>
      <c r="X245" s="18"/>
      <c r="Y245" s="18"/>
      <c r="Z245" s="89"/>
      <c r="AA245" s="18"/>
      <c r="AB245" s="18"/>
      <c r="AC245" s="18"/>
      <c r="AD245" s="18"/>
      <c r="AE245" s="18"/>
      <c r="AF245" s="171"/>
      <c r="AG245" s="171"/>
    </row>
    <row r="246" spans="1:33" s="1" customFormat="1" ht="16.5">
      <c r="A246" s="90"/>
      <c r="B246" s="88"/>
      <c r="C246" s="89"/>
      <c r="D246" s="18"/>
      <c r="E246" s="18"/>
      <c r="F246" s="18"/>
      <c r="G246" s="18"/>
      <c r="H246" s="89"/>
      <c r="I246" s="18"/>
      <c r="J246" s="18"/>
      <c r="K246" s="18"/>
      <c r="L246" s="89"/>
      <c r="M246" s="18"/>
      <c r="N246" s="18"/>
      <c r="O246" s="18"/>
      <c r="P246" s="18"/>
      <c r="Q246" s="18"/>
      <c r="R246" s="29"/>
      <c r="S246" s="18"/>
      <c r="T246" s="18"/>
      <c r="U246" s="18"/>
      <c r="V246" s="89"/>
      <c r="W246" s="18"/>
      <c r="X246" s="18"/>
      <c r="Y246" s="18"/>
      <c r="Z246" s="89"/>
      <c r="AA246" s="18"/>
      <c r="AB246" s="18"/>
      <c r="AC246" s="18"/>
      <c r="AD246" s="18"/>
      <c r="AE246" s="18"/>
      <c r="AF246" s="171"/>
      <c r="AG246" s="171"/>
    </row>
    <row r="247" spans="1:33" s="1" customFormat="1" ht="16.5">
      <c r="A247" s="90"/>
      <c r="B247" s="88"/>
      <c r="C247" s="89"/>
      <c r="D247" s="18"/>
      <c r="E247" s="18"/>
      <c r="F247" s="18"/>
      <c r="G247" s="18"/>
      <c r="H247" s="89"/>
      <c r="I247" s="18"/>
      <c r="J247" s="18"/>
      <c r="K247" s="18"/>
      <c r="L247" s="89"/>
      <c r="M247" s="18"/>
      <c r="N247" s="18"/>
      <c r="O247" s="18"/>
      <c r="P247" s="18"/>
      <c r="Q247" s="18"/>
      <c r="R247" s="29"/>
      <c r="S247" s="18"/>
      <c r="T247" s="18"/>
      <c r="U247" s="18"/>
      <c r="V247" s="89"/>
      <c r="W247" s="18"/>
      <c r="X247" s="18"/>
      <c r="Y247" s="18"/>
      <c r="Z247" s="89"/>
      <c r="AA247" s="18"/>
      <c r="AB247" s="18"/>
      <c r="AC247" s="18"/>
      <c r="AD247" s="18"/>
      <c r="AE247" s="18"/>
      <c r="AF247" s="171"/>
      <c r="AG247" s="171"/>
    </row>
    <row r="248" spans="1:33" s="1" customFormat="1" ht="16.5">
      <c r="A248" s="90"/>
      <c r="B248" s="88"/>
      <c r="C248" s="89"/>
      <c r="D248" s="18"/>
      <c r="E248" s="18"/>
      <c r="F248" s="18"/>
      <c r="G248" s="18"/>
      <c r="H248" s="89"/>
      <c r="I248" s="18"/>
      <c r="J248" s="18"/>
      <c r="K248" s="18"/>
      <c r="L248" s="89"/>
      <c r="M248" s="18"/>
      <c r="N248" s="18"/>
      <c r="O248" s="18"/>
      <c r="P248" s="18"/>
      <c r="Q248" s="18"/>
      <c r="R248" s="29"/>
      <c r="S248" s="18"/>
      <c r="T248" s="18"/>
      <c r="U248" s="18"/>
      <c r="V248" s="89"/>
      <c r="W248" s="18"/>
      <c r="X248" s="18"/>
      <c r="Y248" s="18"/>
      <c r="Z248" s="89"/>
      <c r="AA248" s="18"/>
      <c r="AB248" s="18"/>
      <c r="AC248" s="18"/>
      <c r="AD248" s="18"/>
      <c r="AE248" s="18"/>
      <c r="AF248" s="171"/>
      <c r="AG248" s="171"/>
    </row>
    <row r="249" spans="1:33" s="1" customFormat="1" ht="16.5">
      <c r="A249" s="90"/>
      <c r="B249" s="88"/>
      <c r="C249" s="89"/>
      <c r="D249" s="18"/>
      <c r="E249" s="18"/>
      <c r="F249" s="18"/>
      <c r="G249" s="18"/>
      <c r="H249" s="89"/>
      <c r="I249" s="18"/>
      <c r="J249" s="18"/>
      <c r="K249" s="18"/>
      <c r="L249" s="89"/>
      <c r="M249" s="18"/>
      <c r="N249" s="18"/>
      <c r="O249" s="18"/>
      <c r="P249" s="18"/>
      <c r="Q249" s="18"/>
      <c r="R249" s="29"/>
      <c r="S249" s="18"/>
      <c r="T249" s="18"/>
      <c r="U249" s="18"/>
      <c r="V249" s="89"/>
      <c r="W249" s="18"/>
      <c r="X249" s="18"/>
      <c r="Y249" s="18"/>
      <c r="Z249" s="89"/>
      <c r="AA249" s="18"/>
      <c r="AB249" s="18"/>
      <c r="AC249" s="18"/>
      <c r="AD249" s="18"/>
      <c r="AE249" s="18"/>
      <c r="AF249" s="171"/>
      <c r="AG249" s="171"/>
    </row>
    <row r="250" spans="1:33" s="1" customFormat="1" ht="16.5">
      <c r="A250" s="90"/>
      <c r="B250" s="88"/>
      <c r="C250" s="89"/>
      <c r="D250" s="18"/>
      <c r="E250" s="18"/>
      <c r="F250" s="18"/>
      <c r="G250" s="18"/>
      <c r="H250" s="89"/>
      <c r="I250" s="18"/>
      <c r="J250" s="18"/>
      <c r="K250" s="18"/>
      <c r="L250" s="89"/>
      <c r="M250" s="18"/>
      <c r="N250" s="18"/>
      <c r="O250" s="18"/>
      <c r="P250" s="18"/>
      <c r="Q250" s="18"/>
      <c r="R250" s="29"/>
      <c r="S250" s="18"/>
      <c r="T250" s="18"/>
      <c r="U250" s="18"/>
      <c r="V250" s="89"/>
      <c r="W250" s="18"/>
      <c r="X250" s="18"/>
      <c r="Y250" s="18"/>
      <c r="Z250" s="89"/>
      <c r="AA250" s="18"/>
      <c r="AB250" s="18"/>
      <c r="AC250" s="18"/>
      <c r="AD250" s="18"/>
      <c r="AE250" s="18"/>
      <c r="AF250" s="171"/>
      <c r="AG250" s="171"/>
    </row>
    <row r="251" spans="1:33" s="1" customFormat="1" ht="16.5">
      <c r="A251" s="90"/>
      <c r="B251" s="88"/>
      <c r="C251" s="89"/>
      <c r="D251" s="18"/>
      <c r="E251" s="18"/>
      <c r="F251" s="18"/>
      <c r="G251" s="18"/>
      <c r="H251" s="89"/>
      <c r="I251" s="18"/>
      <c r="J251" s="18"/>
      <c r="K251" s="18"/>
      <c r="L251" s="89"/>
      <c r="M251" s="18"/>
      <c r="N251" s="18"/>
      <c r="O251" s="18"/>
      <c r="P251" s="18"/>
      <c r="Q251" s="18"/>
      <c r="R251" s="29"/>
      <c r="S251" s="18"/>
      <c r="T251" s="18"/>
      <c r="U251" s="18"/>
      <c r="V251" s="89"/>
      <c r="W251" s="18"/>
      <c r="X251" s="18"/>
      <c r="Y251" s="18"/>
      <c r="Z251" s="89"/>
      <c r="AA251" s="18"/>
      <c r="AB251" s="18"/>
      <c r="AC251" s="18"/>
      <c r="AD251" s="18"/>
      <c r="AE251" s="18"/>
      <c r="AF251" s="171"/>
      <c r="AG251" s="171"/>
    </row>
    <row r="252" spans="1:33" s="1" customFormat="1" ht="16.5">
      <c r="A252" s="90"/>
      <c r="B252" s="88"/>
      <c r="C252" s="89"/>
      <c r="D252" s="18"/>
      <c r="E252" s="18"/>
      <c r="F252" s="18"/>
      <c r="G252" s="18"/>
      <c r="H252" s="89"/>
      <c r="I252" s="18"/>
      <c r="J252" s="18"/>
      <c r="K252" s="18"/>
      <c r="L252" s="89"/>
      <c r="M252" s="18"/>
      <c r="N252" s="18"/>
      <c r="O252" s="18"/>
      <c r="P252" s="18"/>
      <c r="Q252" s="18"/>
      <c r="R252" s="29"/>
      <c r="S252" s="18"/>
      <c r="T252" s="18"/>
      <c r="U252" s="18"/>
      <c r="V252" s="89"/>
      <c r="W252" s="18"/>
      <c r="X252" s="18"/>
      <c r="Y252" s="18"/>
      <c r="Z252" s="89"/>
      <c r="AA252" s="18"/>
      <c r="AB252" s="18"/>
      <c r="AC252" s="18"/>
      <c r="AD252" s="18"/>
      <c r="AE252" s="18"/>
      <c r="AF252" s="171"/>
      <c r="AG252" s="171"/>
    </row>
    <row r="253" spans="1:33" s="1" customFormat="1" ht="16.5">
      <c r="A253" s="90"/>
      <c r="B253" s="88"/>
      <c r="C253" s="89"/>
      <c r="D253" s="18"/>
      <c r="E253" s="18"/>
      <c r="F253" s="18"/>
      <c r="G253" s="18"/>
      <c r="H253" s="89"/>
      <c r="I253" s="18"/>
      <c r="J253" s="18"/>
      <c r="K253" s="18"/>
      <c r="L253" s="89"/>
      <c r="M253" s="18"/>
      <c r="N253" s="18"/>
      <c r="O253" s="18"/>
      <c r="P253" s="18"/>
      <c r="Q253" s="18"/>
      <c r="R253" s="29"/>
      <c r="S253" s="18"/>
      <c r="T253" s="18"/>
      <c r="U253" s="18"/>
      <c r="V253" s="89"/>
      <c r="W253" s="18"/>
      <c r="X253" s="18"/>
      <c r="Y253" s="18"/>
      <c r="Z253" s="89"/>
      <c r="AA253" s="18"/>
      <c r="AB253" s="18"/>
      <c r="AC253" s="18"/>
      <c r="AD253" s="18"/>
      <c r="AE253" s="18"/>
      <c r="AF253" s="171"/>
      <c r="AG253" s="171"/>
    </row>
    <row r="254" spans="1:33" s="1" customFormat="1" ht="16.5">
      <c r="A254" s="90"/>
      <c r="B254" s="88"/>
      <c r="C254" s="89"/>
      <c r="D254" s="18"/>
      <c r="E254" s="18"/>
      <c r="F254" s="18"/>
      <c r="G254" s="18"/>
      <c r="H254" s="89"/>
      <c r="I254" s="18"/>
      <c r="J254" s="18"/>
      <c r="K254" s="18"/>
      <c r="L254" s="89"/>
      <c r="M254" s="18"/>
      <c r="N254" s="18"/>
      <c r="O254" s="18"/>
      <c r="P254" s="18"/>
      <c r="Q254" s="18"/>
      <c r="R254" s="29"/>
      <c r="S254" s="18"/>
      <c r="T254" s="18"/>
      <c r="U254" s="18"/>
      <c r="V254" s="89"/>
      <c r="W254" s="18"/>
      <c r="X254" s="18"/>
      <c r="Y254" s="18"/>
      <c r="Z254" s="89"/>
      <c r="AA254" s="18"/>
      <c r="AB254" s="18"/>
      <c r="AC254" s="18"/>
      <c r="AD254" s="18"/>
      <c r="AE254" s="18"/>
      <c r="AF254" s="171"/>
      <c r="AG254" s="171"/>
    </row>
    <row r="255" spans="1:33" s="1" customFormat="1" ht="16.5">
      <c r="A255" s="90"/>
      <c r="B255" s="88"/>
      <c r="C255" s="89"/>
      <c r="D255" s="18"/>
      <c r="E255" s="18"/>
      <c r="F255" s="18"/>
      <c r="G255" s="18"/>
      <c r="H255" s="89"/>
      <c r="I255" s="18"/>
      <c r="J255" s="18"/>
      <c r="K255" s="18"/>
      <c r="L255" s="89"/>
      <c r="M255" s="18"/>
      <c r="N255" s="18"/>
      <c r="O255" s="18"/>
      <c r="P255" s="18"/>
      <c r="Q255" s="18"/>
      <c r="R255" s="29"/>
      <c r="S255" s="18"/>
      <c r="T255" s="18"/>
      <c r="U255" s="18"/>
      <c r="V255" s="89"/>
      <c r="W255" s="18"/>
      <c r="X255" s="18"/>
      <c r="Y255" s="18"/>
      <c r="Z255" s="89"/>
      <c r="AA255" s="18"/>
      <c r="AB255" s="18"/>
      <c r="AC255" s="18"/>
      <c r="AD255" s="18"/>
      <c r="AE255" s="18"/>
      <c r="AF255" s="171"/>
      <c r="AG255" s="171"/>
    </row>
    <row r="256" spans="1:33" s="1" customFormat="1" ht="16.5">
      <c r="A256" s="90"/>
      <c r="B256" s="88"/>
      <c r="C256" s="89"/>
      <c r="D256" s="18"/>
      <c r="E256" s="18"/>
      <c r="F256" s="18"/>
      <c r="G256" s="18"/>
      <c r="H256" s="89"/>
      <c r="I256" s="18"/>
      <c r="J256" s="18"/>
      <c r="K256" s="18"/>
      <c r="L256" s="89"/>
      <c r="M256" s="18"/>
      <c r="N256" s="18"/>
      <c r="O256" s="18"/>
      <c r="P256" s="18"/>
      <c r="Q256" s="18"/>
      <c r="R256" s="29"/>
      <c r="S256" s="18"/>
      <c r="T256" s="18"/>
      <c r="U256" s="18"/>
      <c r="V256" s="89"/>
      <c r="W256" s="18"/>
      <c r="X256" s="18"/>
      <c r="Y256" s="18"/>
      <c r="Z256" s="89"/>
      <c r="AA256" s="18"/>
      <c r="AB256" s="18"/>
      <c r="AC256" s="18"/>
      <c r="AD256" s="18"/>
      <c r="AE256" s="18"/>
      <c r="AF256" s="171"/>
      <c r="AG256" s="171"/>
    </row>
    <row r="257" spans="1:33" s="1" customFormat="1" ht="16.5">
      <c r="A257" s="90"/>
      <c r="B257" s="88"/>
      <c r="C257" s="89"/>
      <c r="D257" s="18"/>
      <c r="E257" s="18"/>
      <c r="F257" s="18"/>
      <c r="G257" s="18"/>
      <c r="H257" s="89"/>
      <c r="I257" s="18"/>
      <c r="J257" s="18"/>
      <c r="K257" s="18"/>
      <c r="L257" s="89"/>
      <c r="M257" s="18"/>
      <c r="N257" s="18"/>
      <c r="O257" s="18"/>
      <c r="P257" s="18"/>
      <c r="Q257" s="18"/>
      <c r="R257" s="29"/>
      <c r="S257" s="18"/>
      <c r="T257" s="18"/>
      <c r="U257" s="18"/>
      <c r="V257" s="89"/>
      <c r="W257" s="18"/>
      <c r="X257" s="18"/>
      <c r="Y257" s="18"/>
      <c r="Z257" s="89"/>
      <c r="AA257" s="18"/>
      <c r="AB257" s="18"/>
      <c r="AC257" s="18"/>
      <c r="AD257" s="18"/>
      <c r="AE257" s="18"/>
      <c r="AF257" s="171"/>
      <c r="AG257" s="171"/>
    </row>
    <row r="258" spans="1:33" s="1" customFormat="1" ht="16.5">
      <c r="A258" s="90"/>
      <c r="B258" s="88"/>
      <c r="C258" s="89"/>
      <c r="D258" s="18"/>
      <c r="E258" s="18"/>
      <c r="F258" s="18"/>
      <c r="G258" s="18"/>
      <c r="H258" s="89"/>
      <c r="I258" s="18"/>
      <c r="J258" s="18"/>
      <c r="K258" s="18"/>
      <c r="L258" s="89"/>
      <c r="M258" s="18"/>
      <c r="N258" s="18"/>
      <c r="O258" s="18"/>
      <c r="P258" s="18"/>
      <c r="Q258" s="18"/>
      <c r="R258" s="29"/>
      <c r="S258" s="18"/>
      <c r="T258" s="18"/>
      <c r="U258" s="18"/>
      <c r="V258" s="89"/>
      <c r="W258" s="18"/>
      <c r="X258" s="18"/>
      <c r="Y258" s="18"/>
      <c r="Z258" s="89"/>
      <c r="AA258" s="18"/>
      <c r="AB258" s="18"/>
      <c r="AC258" s="18"/>
      <c r="AD258" s="18"/>
      <c r="AE258" s="18"/>
      <c r="AF258" s="171"/>
      <c r="AG258" s="171"/>
    </row>
    <row r="259" spans="1:33" s="1" customFormat="1" ht="16.5">
      <c r="A259" s="90"/>
      <c r="B259" s="88"/>
      <c r="C259" s="89"/>
      <c r="D259" s="18"/>
      <c r="E259" s="18"/>
      <c r="F259" s="18"/>
      <c r="G259" s="18"/>
      <c r="H259" s="89"/>
      <c r="I259" s="18"/>
      <c r="J259" s="18"/>
      <c r="K259" s="18"/>
      <c r="L259" s="89"/>
      <c r="M259" s="18"/>
      <c r="N259" s="18"/>
      <c r="O259" s="18"/>
      <c r="P259" s="18"/>
      <c r="Q259" s="18"/>
      <c r="R259" s="29"/>
      <c r="S259" s="18"/>
      <c r="T259" s="18"/>
      <c r="U259" s="18"/>
      <c r="V259" s="89"/>
      <c r="W259" s="18"/>
      <c r="X259" s="18"/>
      <c r="Y259" s="18"/>
      <c r="Z259" s="89"/>
      <c r="AA259" s="18"/>
      <c r="AB259" s="18"/>
      <c r="AC259" s="18"/>
      <c r="AD259" s="18"/>
      <c r="AE259" s="18"/>
      <c r="AF259" s="171"/>
      <c r="AG259" s="171"/>
    </row>
    <row r="260" spans="1:33" s="1" customFormat="1" ht="16.5">
      <c r="A260" s="90"/>
      <c r="B260" s="88"/>
      <c r="C260" s="89"/>
      <c r="D260" s="18"/>
      <c r="E260" s="18"/>
      <c r="F260" s="18"/>
      <c r="G260" s="18"/>
      <c r="H260" s="89"/>
      <c r="I260" s="18"/>
      <c r="J260" s="18"/>
      <c r="K260" s="18"/>
      <c r="L260" s="89"/>
      <c r="M260" s="18"/>
      <c r="N260" s="18"/>
      <c r="O260" s="18"/>
      <c r="P260" s="18"/>
      <c r="Q260" s="18"/>
      <c r="R260" s="29"/>
      <c r="S260" s="18"/>
      <c r="T260" s="18"/>
      <c r="U260" s="18"/>
      <c r="V260" s="89"/>
      <c r="W260" s="18"/>
      <c r="X260" s="18"/>
      <c r="Y260" s="18"/>
      <c r="Z260" s="89"/>
      <c r="AA260" s="18"/>
      <c r="AB260" s="18"/>
      <c r="AC260" s="18"/>
      <c r="AD260" s="18"/>
      <c r="AE260" s="18"/>
      <c r="AF260" s="171"/>
      <c r="AG260" s="171"/>
    </row>
    <row r="261" spans="1:33" s="1" customFormat="1" ht="16.5">
      <c r="A261" s="90"/>
      <c r="B261" s="88"/>
      <c r="C261" s="89"/>
      <c r="D261" s="18"/>
      <c r="E261" s="18"/>
      <c r="F261" s="18"/>
      <c r="G261" s="18"/>
      <c r="H261" s="89"/>
      <c r="I261" s="18"/>
      <c r="J261" s="18"/>
      <c r="K261" s="18"/>
      <c r="L261" s="89"/>
      <c r="M261" s="18"/>
      <c r="N261" s="18"/>
      <c r="O261" s="18"/>
      <c r="P261" s="18"/>
      <c r="Q261" s="18"/>
      <c r="R261" s="29"/>
      <c r="S261" s="18"/>
      <c r="T261" s="18"/>
      <c r="U261" s="18"/>
      <c r="V261" s="89"/>
      <c r="W261" s="18"/>
      <c r="X261" s="18"/>
      <c r="Y261" s="18"/>
      <c r="Z261" s="89"/>
      <c r="AA261" s="18"/>
      <c r="AB261" s="18"/>
      <c r="AC261" s="18"/>
      <c r="AD261" s="18"/>
      <c r="AE261" s="18"/>
      <c r="AF261" s="171"/>
      <c r="AG261" s="171"/>
    </row>
    <row r="262" spans="1:33" s="1" customFormat="1" ht="16.5">
      <c r="A262" s="90"/>
      <c r="B262" s="88"/>
      <c r="C262" s="89"/>
      <c r="D262" s="18"/>
      <c r="E262" s="18"/>
      <c r="F262" s="18"/>
      <c r="G262" s="18"/>
      <c r="H262" s="89"/>
      <c r="I262" s="18"/>
      <c r="J262" s="18"/>
      <c r="K262" s="18"/>
      <c r="L262" s="89"/>
      <c r="M262" s="18"/>
      <c r="N262" s="18"/>
      <c r="O262" s="18"/>
      <c r="P262" s="18"/>
      <c r="Q262" s="18"/>
      <c r="R262" s="29"/>
      <c r="S262" s="18"/>
      <c r="T262" s="18"/>
      <c r="U262" s="18"/>
      <c r="V262" s="89"/>
      <c r="W262" s="18"/>
      <c r="X262" s="18"/>
      <c r="Y262" s="18"/>
      <c r="Z262" s="89"/>
      <c r="AA262" s="18"/>
      <c r="AB262" s="18"/>
      <c r="AC262" s="18"/>
      <c r="AD262" s="18"/>
      <c r="AE262" s="18"/>
      <c r="AF262" s="171"/>
      <c r="AG262" s="171"/>
    </row>
    <row r="263" spans="1:33" s="1" customFormat="1" ht="16.5">
      <c r="A263" s="90"/>
      <c r="B263" s="88"/>
      <c r="C263" s="89"/>
      <c r="D263" s="18"/>
      <c r="E263" s="18"/>
      <c r="F263" s="18"/>
      <c r="G263" s="18"/>
      <c r="H263" s="89"/>
      <c r="I263" s="18"/>
      <c r="J263" s="18"/>
      <c r="K263" s="18"/>
      <c r="L263" s="89"/>
      <c r="M263" s="18"/>
      <c r="N263" s="18"/>
      <c r="O263" s="18"/>
      <c r="P263" s="18"/>
      <c r="Q263" s="18"/>
      <c r="R263" s="29"/>
      <c r="S263" s="18"/>
      <c r="T263" s="18"/>
      <c r="U263" s="18"/>
      <c r="V263" s="89"/>
      <c r="W263" s="18"/>
      <c r="X263" s="18"/>
      <c r="Y263" s="18"/>
      <c r="Z263" s="89"/>
      <c r="AA263" s="18"/>
      <c r="AB263" s="18"/>
      <c r="AC263" s="18"/>
      <c r="AD263" s="18"/>
      <c r="AE263" s="18"/>
      <c r="AF263" s="171"/>
      <c r="AG263" s="171"/>
    </row>
    <row r="264" spans="1:33" s="1" customFormat="1" ht="16.5">
      <c r="A264" s="90"/>
      <c r="B264" s="88"/>
      <c r="C264" s="89"/>
      <c r="D264" s="18"/>
      <c r="E264" s="18"/>
      <c r="F264" s="18"/>
      <c r="G264" s="18"/>
      <c r="H264" s="89"/>
      <c r="I264" s="18"/>
      <c r="J264" s="18"/>
      <c r="K264" s="18"/>
      <c r="L264" s="89"/>
      <c r="M264" s="18"/>
      <c r="N264" s="18"/>
      <c r="O264" s="18"/>
      <c r="P264" s="18"/>
      <c r="Q264" s="18"/>
      <c r="R264" s="29"/>
      <c r="S264" s="18"/>
      <c r="T264" s="18"/>
      <c r="U264" s="18"/>
      <c r="V264" s="89"/>
      <c r="W264" s="18"/>
      <c r="X264" s="18"/>
      <c r="Y264" s="18"/>
      <c r="Z264" s="89"/>
      <c r="AA264" s="18"/>
      <c r="AB264" s="18"/>
      <c r="AC264" s="18"/>
      <c r="AD264" s="18"/>
      <c r="AE264" s="18"/>
      <c r="AF264" s="171"/>
      <c r="AG264" s="171"/>
    </row>
    <row r="265" spans="1:33" s="1" customFormat="1" ht="16.5">
      <c r="A265" s="90"/>
      <c r="B265" s="88"/>
      <c r="C265" s="89"/>
      <c r="D265" s="18"/>
      <c r="E265" s="18"/>
      <c r="F265" s="18"/>
      <c r="G265" s="18"/>
      <c r="H265" s="89"/>
      <c r="I265" s="18"/>
      <c r="J265" s="18"/>
      <c r="K265" s="18"/>
      <c r="L265" s="89"/>
      <c r="M265" s="18"/>
      <c r="N265" s="18"/>
      <c r="O265" s="18"/>
      <c r="P265" s="18"/>
      <c r="Q265" s="18"/>
      <c r="R265" s="29"/>
      <c r="S265" s="18"/>
      <c r="T265" s="18"/>
      <c r="U265" s="18"/>
      <c r="V265" s="89"/>
      <c r="W265" s="18"/>
      <c r="X265" s="18"/>
      <c r="Y265" s="18"/>
      <c r="Z265" s="89"/>
      <c r="AA265" s="18"/>
      <c r="AB265" s="18"/>
      <c r="AC265" s="18"/>
      <c r="AD265" s="18"/>
      <c r="AE265" s="18"/>
      <c r="AF265" s="171"/>
      <c r="AG265" s="171"/>
    </row>
    <row r="266" spans="1:33" s="1" customFormat="1" ht="16.5">
      <c r="A266" s="90"/>
      <c r="B266" s="88"/>
      <c r="C266" s="89"/>
      <c r="D266" s="18"/>
      <c r="E266" s="18"/>
      <c r="F266" s="18"/>
      <c r="G266" s="18"/>
      <c r="H266" s="89"/>
      <c r="I266" s="18"/>
      <c r="J266" s="18"/>
      <c r="K266" s="18"/>
      <c r="L266" s="89"/>
      <c r="M266" s="18"/>
      <c r="N266" s="18"/>
      <c r="O266" s="18"/>
      <c r="P266" s="18"/>
      <c r="Q266" s="18"/>
      <c r="R266" s="29"/>
      <c r="S266" s="18"/>
      <c r="T266" s="18"/>
      <c r="U266" s="18"/>
      <c r="V266" s="89"/>
      <c r="W266" s="18"/>
      <c r="X266" s="18"/>
      <c r="Y266" s="18"/>
      <c r="Z266" s="89"/>
      <c r="AA266" s="18"/>
      <c r="AB266" s="18"/>
      <c r="AC266" s="18"/>
      <c r="AD266" s="18"/>
      <c r="AE266" s="18"/>
      <c r="AF266" s="171"/>
      <c r="AG266" s="171"/>
    </row>
    <row r="267" spans="1:33" s="1" customFormat="1" ht="16.5">
      <c r="A267" s="90"/>
      <c r="B267" s="88"/>
      <c r="C267" s="89"/>
      <c r="D267" s="18"/>
      <c r="E267" s="18"/>
      <c r="F267" s="18"/>
      <c r="G267" s="18"/>
      <c r="H267" s="89"/>
      <c r="I267" s="18"/>
      <c r="J267" s="18"/>
      <c r="K267" s="18"/>
      <c r="L267" s="89"/>
      <c r="M267" s="18"/>
      <c r="N267" s="18"/>
      <c r="O267" s="18"/>
      <c r="P267" s="18"/>
      <c r="Q267" s="18"/>
      <c r="R267" s="29"/>
      <c r="S267" s="18"/>
      <c r="T267" s="18"/>
      <c r="U267" s="18"/>
      <c r="V267" s="89"/>
      <c r="W267" s="18"/>
      <c r="X267" s="18"/>
      <c r="Y267" s="18"/>
      <c r="Z267" s="89"/>
      <c r="AA267" s="18"/>
      <c r="AB267" s="18"/>
      <c r="AC267" s="18"/>
      <c r="AD267" s="18"/>
      <c r="AE267" s="18"/>
      <c r="AF267" s="171"/>
      <c r="AG267" s="171"/>
    </row>
    <row r="268" spans="1:33" s="1" customFormat="1" ht="16.5">
      <c r="A268" s="90"/>
      <c r="B268" s="88"/>
      <c r="C268" s="89"/>
      <c r="D268" s="18"/>
      <c r="E268" s="18"/>
      <c r="F268" s="18"/>
      <c r="G268" s="18"/>
      <c r="H268" s="89"/>
      <c r="I268" s="18"/>
      <c r="J268" s="18"/>
      <c r="K268" s="18"/>
      <c r="L268" s="89"/>
      <c r="M268" s="18"/>
      <c r="N268" s="18"/>
      <c r="O268" s="18"/>
      <c r="P268" s="18"/>
      <c r="Q268" s="18"/>
      <c r="R268" s="29"/>
      <c r="S268" s="18"/>
      <c r="T268" s="18"/>
      <c r="U268" s="18"/>
      <c r="V268" s="89"/>
      <c r="W268" s="18"/>
      <c r="X268" s="18"/>
      <c r="Y268" s="18"/>
      <c r="Z268" s="89"/>
      <c r="AA268" s="18"/>
      <c r="AB268" s="18"/>
      <c r="AC268" s="18"/>
      <c r="AD268" s="18"/>
      <c r="AE268" s="18"/>
      <c r="AF268" s="171"/>
      <c r="AG268" s="171"/>
    </row>
    <row r="269" spans="1:33" s="1" customFormat="1" ht="16.5">
      <c r="A269" s="90"/>
      <c r="B269" s="88"/>
      <c r="C269" s="89"/>
      <c r="D269" s="18"/>
      <c r="E269" s="18"/>
      <c r="F269" s="18"/>
      <c r="G269" s="18"/>
      <c r="H269" s="89"/>
      <c r="I269" s="18"/>
      <c r="J269" s="18"/>
      <c r="K269" s="18"/>
      <c r="L269" s="89"/>
      <c r="M269" s="18"/>
      <c r="N269" s="18"/>
      <c r="O269" s="18"/>
      <c r="P269" s="18"/>
      <c r="Q269" s="18"/>
      <c r="R269" s="29"/>
      <c r="S269" s="18"/>
      <c r="T269" s="18"/>
      <c r="U269" s="18"/>
      <c r="V269" s="89"/>
      <c r="W269" s="18"/>
      <c r="X269" s="18"/>
      <c r="Y269" s="18"/>
      <c r="Z269" s="89"/>
      <c r="AA269" s="18"/>
      <c r="AB269" s="18"/>
      <c r="AC269" s="18"/>
      <c r="AD269" s="18"/>
      <c r="AE269" s="18"/>
      <c r="AF269" s="171"/>
      <c r="AG269" s="171"/>
    </row>
    <row r="270" spans="1:33" s="1" customFormat="1" ht="16.5">
      <c r="A270" s="90"/>
      <c r="B270" s="88"/>
      <c r="C270" s="89"/>
      <c r="D270" s="18"/>
      <c r="E270" s="18"/>
      <c r="F270" s="18"/>
      <c r="G270" s="18"/>
      <c r="H270" s="89"/>
      <c r="I270" s="18"/>
      <c r="J270" s="18"/>
      <c r="K270" s="18"/>
      <c r="L270" s="89"/>
      <c r="M270" s="18"/>
      <c r="N270" s="18"/>
      <c r="O270" s="18"/>
      <c r="P270" s="18"/>
      <c r="Q270" s="18"/>
      <c r="R270" s="29"/>
      <c r="S270" s="18"/>
      <c r="T270" s="18"/>
      <c r="U270" s="18"/>
      <c r="V270" s="89"/>
      <c r="W270" s="18"/>
      <c r="X270" s="18"/>
      <c r="Y270" s="18"/>
      <c r="Z270" s="89"/>
      <c r="AA270" s="18"/>
      <c r="AB270" s="18"/>
      <c r="AC270" s="18"/>
      <c r="AD270" s="18"/>
      <c r="AE270" s="18"/>
      <c r="AF270" s="171"/>
      <c r="AG270" s="171"/>
    </row>
    <row r="271" spans="1:33" s="1" customFormat="1" ht="16.5">
      <c r="A271" s="90"/>
      <c r="B271" s="88"/>
      <c r="C271" s="89"/>
      <c r="D271" s="18"/>
      <c r="E271" s="18"/>
      <c r="F271" s="18"/>
      <c r="G271" s="18"/>
      <c r="H271" s="89"/>
      <c r="I271" s="18"/>
      <c r="J271" s="18"/>
      <c r="K271" s="18"/>
      <c r="L271" s="89"/>
      <c r="M271" s="18"/>
      <c r="N271" s="18"/>
      <c r="O271" s="18"/>
      <c r="P271" s="18"/>
      <c r="Q271" s="18"/>
      <c r="R271" s="29"/>
      <c r="S271" s="18"/>
      <c r="T271" s="18"/>
      <c r="U271" s="18"/>
      <c r="V271" s="89"/>
      <c r="W271" s="18"/>
      <c r="X271" s="18"/>
      <c r="Y271" s="18"/>
      <c r="Z271" s="89"/>
      <c r="AA271" s="18"/>
      <c r="AB271" s="18"/>
      <c r="AC271" s="18"/>
      <c r="AD271" s="18"/>
      <c r="AE271" s="18"/>
      <c r="AF271" s="171"/>
      <c r="AG271" s="171"/>
    </row>
    <row r="272" spans="1:33" s="1" customFormat="1" ht="16.5">
      <c r="A272" s="90"/>
      <c r="B272" s="88"/>
      <c r="C272" s="89"/>
      <c r="D272" s="18"/>
      <c r="E272" s="18"/>
      <c r="F272" s="18"/>
      <c r="G272" s="18"/>
      <c r="H272" s="89"/>
      <c r="I272" s="18"/>
      <c r="J272" s="18"/>
      <c r="K272" s="18"/>
      <c r="L272" s="89"/>
      <c r="M272" s="18"/>
      <c r="N272" s="18"/>
      <c r="O272" s="18"/>
      <c r="P272" s="18"/>
      <c r="Q272" s="18"/>
      <c r="R272" s="29"/>
      <c r="S272" s="18"/>
      <c r="T272" s="18"/>
      <c r="U272" s="18"/>
      <c r="V272" s="89"/>
      <c r="W272" s="18"/>
      <c r="X272" s="18"/>
      <c r="Y272" s="18"/>
      <c r="Z272" s="89"/>
      <c r="AA272" s="18"/>
      <c r="AB272" s="18"/>
      <c r="AC272" s="18"/>
      <c r="AD272" s="18"/>
      <c r="AE272" s="18"/>
      <c r="AF272" s="171"/>
      <c r="AG272" s="171"/>
    </row>
    <row r="273" spans="1:33" s="1" customFormat="1" ht="16.5">
      <c r="A273" s="90"/>
      <c r="B273" s="88"/>
      <c r="C273" s="89"/>
      <c r="D273" s="18"/>
      <c r="E273" s="18"/>
      <c r="F273" s="18"/>
      <c r="G273" s="18"/>
      <c r="H273" s="89"/>
      <c r="I273" s="18"/>
      <c r="J273" s="18"/>
      <c r="K273" s="18"/>
      <c r="L273" s="89"/>
      <c r="M273" s="18"/>
      <c r="N273" s="18"/>
      <c r="O273" s="18"/>
      <c r="P273" s="18"/>
      <c r="Q273" s="18"/>
      <c r="R273" s="29"/>
      <c r="S273" s="18"/>
      <c r="T273" s="18"/>
      <c r="U273" s="18"/>
      <c r="V273" s="89"/>
      <c r="W273" s="18"/>
      <c r="X273" s="18"/>
      <c r="Y273" s="18"/>
      <c r="Z273" s="89"/>
      <c r="AA273" s="18"/>
      <c r="AB273" s="18"/>
      <c r="AC273" s="18"/>
      <c r="AD273" s="18"/>
      <c r="AE273" s="18"/>
      <c r="AF273" s="171"/>
      <c r="AG273" s="171"/>
    </row>
    <row r="274" spans="1:33" s="1" customFormat="1" ht="16.5">
      <c r="A274" s="90"/>
      <c r="B274" s="88"/>
      <c r="C274" s="89"/>
      <c r="D274" s="18"/>
      <c r="E274" s="18"/>
      <c r="F274" s="18"/>
      <c r="G274" s="18"/>
      <c r="H274" s="89"/>
      <c r="I274" s="18"/>
      <c r="J274" s="18"/>
      <c r="K274" s="18"/>
      <c r="L274" s="89"/>
      <c r="M274" s="18"/>
      <c r="N274" s="18"/>
      <c r="O274" s="18"/>
      <c r="P274" s="18"/>
      <c r="Q274" s="18"/>
      <c r="R274" s="29"/>
      <c r="S274" s="18"/>
      <c r="T274" s="18"/>
      <c r="U274" s="18"/>
      <c r="V274" s="89"/>
      <c r="W274" s="18"/>
      <c r="X274" s="18"/>
      <c r="Y274" s="18"/>
      <c r="Z274" s="89"/>
      <c r="AA274" s="18"/>
      <c r="AB274" s="18"/>
      <c r="AC274" s="18"/>
      <c r="AD274" s="18"/>
      <c r="AE274" s="18"/>
      <c r="AF274" s="171"/>
      <c r="AG274" s="171"/>
    </row>
    <row r="275" spans="1:33" s="1" customFormat="1" ht="16.5">
      <c r="A275" s="90"/>
      <c r="B275" s="88"/>
      <c r="C275" s="89"/>
      <c r="D275" s="18"/>
      <c r="E275" s="18"/>
      <c r="F275" s="18"/>
      <c r="G275" s="18"/>
      <c r="H275" s="89"/>
      <c r="I275" s="18"/>
      <c r="J275" s="18"/>
      <c r="K275" s="18"/>
      <c r="L275" s="89"/>
      <c r="M275" s="18"/>
      <c r="N275" s="18"/>
      <c r="O275" s="18"/>
      <c r="P275" s="18"/>
      <c r="Q275" s="18"/>
      <c r="R275" s="29"/>
      <c r="S275" s="18"/>
      <c r="T275" s="18"/>
      <c r="U275" s="18"/>
      <c r="V275" s="89"/>
      <c r="W275" s="18"/>
      <c r="X275" s="18"/>
      <c r="Y275" s="18"/>
      <c r="Z275" s="89"/>
      <c r="AA275" s="18"/>
      <c r="AB275" s="18"/>
      <c r="AC275" s="18"/>
      <c r="AD275" s="18"/>
      <c r="AE275" s="18"/>
      <c r="AF275" s="171"/>
      <c r="AG275" s="171"/>
    </row>
    <row r="276" spans="1:33" s="1" customFormat="1" ht="16.5">
      <c r="A276" s="90"/>
      <c r="B276" s="88"/>
      <c r="C276" s="89"/>
      <c r="D276" s="18"/>
      <c r="E276" s="18"/>
      <c r="F276" s="18"/>
      <c r="G276" s="18"/>
      <c r="H276" s="89"/>
      <c r="I276" s="18"/>
      <c r="J276" s="18"/>
      <c r="K276" s="18"/>
      <c r="L276" s="89"/>
      <c r="M276" s="18"/>
      <c r="N276" s="18"/>
      <c r="O276" s="18"/>
      <c r="P276" s="18"/>
      <c r="Q276" s="18"/>
      <c r="R276" s="29"/>
      <c r="S276" s="18"/>
      <c r="T276" s="18"/>
      <c r="U276" s="18"/>
      <c r="V276" s="89"/>
      <c r="W276" s="18"/>
      <c r="X276" s="18"/>
      <c r="Y276" s="18"/>
      <c r="Z276" s="89"/>
      <c r="AA276" s="18"/>
      <c r="AB276" s="18"/>
      <c r="AC276" s="18"/>
      <c r="AD276" s="18"/>
      <c r="AE276" s="18"/>
      <c r="AF276" s="171"/>
      <c r="AG276" s="171"/>
    </row>
    <row r="277" spans="1:33" s="1" customFormat="1" ht="16.5">
      <c r="A277" s="90"/>
      <c r="B277" s="88"/>
      <c r="C277" s="89"/>
      <c r="D277" s="18"/>
      <c r="E277" s="18"/>
      <c r="F277" s="18"/>
      <c r="G277" s="18"/>
      <c r="H277" s="89"/>
      <c r="I277" s="18"/>
      <c r="J277" s="18"/>
      <c r="K277" s="18"/>
      <c r="L277" s="89"/>
      <c r="M277" s="18"/>
      <c r="N277" s="18"/>
      <c r="O277" s="18"/>
      <c r="P277" s="18"/>
      <c r="Q277" s="18"/>
      <c r="R277" s="29"/>
      <c r="S277" s="18"/>
      <c r="T277" s="18"/>
      <c r="U277" s="18"/>
      <c r="V277" s="89"/>
      <c r="W277" s="18"/>
      <c r="X277" s="18"/>
      <c r="Y277" s="18"/>
      <c r="Z277" s="89"/>
      <c r="AA277" s="18"/>
      <c r="AB277" s="18"/>
      <c r="AC277" s="18"/>
      <c r="AD277" s="18"/>
      <c r="AE277" s="18"/>
      <c r="AF277" s="171"/>
      <c r="AG277" s="171"/>
    </row>
    <row r="278" spans="1:33" s="1" customFormat="1" ht="16.5">
      <c r="A278" s="90"/>
      <c r="B278" s="88"/>
      <c r="C278" s="89"/>
      <c r="D278" s="18"/>
      <c r="E278" s="18"/>
      <c r="F278" s="18"/>
      <c r="G278" s="18"/>
      <c r="H278" s="89"/>
      <c r="I278" s="18"/>
      <c r="J278" s="18"/>
      <c r="K278" s="18"/>
      <c r="L278" s="89"/>
      <c r="M278" s="18"/>
      <c r="N278" s="18"/>
      <c r="O278" s="18"/>
      <c r="P278" s="18"/>
      <c r="Q278" s="18"/>
      <c r="R278" s="29"/>
      <c r="S278" s="18"/>
      <c r="T278" s="18"/>
      <c r="U278" s="18"/>
      <c r="V278" s="89"/>
      <c r="W278" s="18"/>
      <c r="X278" s="18"/>
      <c r="Y278" s="18"/>
      <c r="Z278" s="89"/>
      <c r="AA278" s="18"/>
      <c r="AB278" s="18"/>
      <c r="AC278" s="18"/>
      <c r="AD278" s="18"/>
      <c r="AE278" s="18"/>
      <c r="AF278" s="171"/>
      <c r="AG278" s="171"/>
    </row>
    <row r="279" spans="1:33" s="1" customFormat="1" ht="16.5">
      <c r="A279" s="90"/>
      <c r="B279" s="88"/>
      <c r="C279" s="89"/>
      <c r="D279" s="18"/>
      <c r="E279" s="18"/>
      <c r="F279" s="18"/>
      <c r="G279" s="18"/>
      <c r="H279" s="89"/>
      <c r="I279" s="18"/>
      <c r="J279" s="18"/>
      <c r="K279" s="18"/>
      <c r="L279" s="89"/>
      <c r="M279" s="18"/>
      <c r="N279" s="18"/>
      <c r="O279" s="18"/>
      <c r="P279" s="18"/>
      <c r="Q279" s="18"/>
      <c r="R279" s="29"/>
      <c r="S279" s="18"/>
      <c r="T279" s="18"/>
      <c r="U279" s="18"/>
      <c r="V279" s="89"/>
      <c r="W279" s="18"/>
      <c r="X279" s="18"/>
      <c r="Y279" s="18"/>
      <c r="Z279" s="89"/>
      <c r="AA279" s="18"/>
      <c r="AB279" s="18"/>
      <c r="AC279" s="18"/>
      <c r="AD279" s="18"/>
      <c r="AE279" s="18"/>
      <c r="AF279" s="171"/>
      <c r="AG279" s="171"/>
    </row>
    <row r="280" spans="1:33" s="1" customFormat="1" ht="16.5">
      <c r="A280" s="90"/>
      <c r="B280" s="88"/>
      <c r="C280" s="89"/>
      <c r="D280" s="18"/>
      <c r="E280" s="18"/>
      <c r="F280" s="18"/>
      <c r="G280" s="18"/>
      <c r="H280" s="89"/>
      <c r="I280" s="18"/>
      <c r="J280" s="18"/>
      <c r="K280" s="18"/>
      <c r="L280" s="89"/>
      <c r="M280" s="18"/>
      <c r="N280" s="18"/>
      <c r="O280" s="18"/>
      <c r="P280" s="18"/>
      <c r="Q280" s="18"/>
      <c r="R280" s="29"/>
      <c r="S280" s="18"/>
      <c r="T280" s="18"/>
      <c r="U280" s="18"/>
      <c r="V280" s="89"/>
      <c r="W280" s="18"/>
      <c r="X280" s="18"/>
      <c r="Y280" s="18"/>
      <c r="Z280" s="89"/>
      <c r="AA280" s="18"/>
      <c r="AB280" s="18"/>
      <c r="AC280" s="18"/>
      <c r="AD280" s="18"/>
      <c r="AE280" s="18"/>
      <c r="AF280" s="171"/>
      <c r="AG280" s="171"/>
    </row>
    <row r="281" spans="1:33" s="1" customFormat="1" ht="16.5">
      <c r="A281" s="90"/>
      <c r="B281" s="88"/>
      <c r="C281" s="89"/>
      <c r="D281" s="18"/>
      <c r="E281" s="18"/>
      <c r="F281" s="18"/>
      <c r="G281" s="18"/>
      <c r="H281" s="89"/>
      <c r="I281" s="18"/>
      <c r="J281" s="18"/>
      <c r="K281" s="18"/>
      <c r="L281" s="89"/>
      <c r="M281" s="18"/>
      <c r="N281" s="18"/>
      <c r="O281" s="18"/>
      <c r="P281" s="18"/>
      <c r="Q281" s="18"/>
      <c r="R281" s="29"/>
      <c r="S281" s="18"/>
      <c r="T281" s="18"/>
      <c r="U281" s="18"/>
      <c r="V281" s="89"/>
      <c r="W281" s="18"/>
      <c r="X281" s="18"/>
      <c r="Y281" s="18"/>
      <c r="Z281" s="89"/>
      <c r="AA281" s="18"/>
      <c r="AB281" s="18"/>
      <c r="AC281" s="18"/>
      <c r="AD281" s="18"/>
      <c r="AE281" s="18"/>
      <c r="AF281" s="171"/>
      <c r="AG281" s="171"/>
    </row>
    <row r="282" spans="1:33" s="1" customFormat="1" ht="16.5">
      <c r="A282" s="90"/>
      <c r="B282" s="88"/>
      <c r="C282" s="89"/>
      <c r="D282" s="18"/>
      <c r="E282" s="18"/>
      <c r="F282" s="18"/>
      <c r="G282" s="18"/>
      <c r="H282" s="89"/>
      <c r="I282" s="18"/>
      <c r="J282" s="18"/>
      <c r="K282" s="18"/>
      <c r="L282" s="89"/>
      <c r="M282" s="18"/>
      <c r="N282" s="18"/>
      <c r="O282" s="18"/>
      <c r="P282" s="18"/>
      <c r="Q282" s="18"/>
      <c r="R282" s="29"/>
      <c r="S282" s="18"/>
      <c r="T282" s="18"/>
      <c r="U282" s="18"/>
      <c r="V282" s="89"/>
      <c r="W282" s="18"/>
      <c r="X282" s="18"/>
      <c r="Y282" s="18"/>
      <c r="Z282" s="89"/>
      <c r="AA282" s="18"/>
      <c r="AB282" s="18"/>
      <c r="AC282" s="18"/>
      <c r="AD282" s="18"/>
      <c r="AE282" s="18"/>
      <c r="AF282" s="171"/>
      <c r="AG282" s="171"/>
    </row>
    <row r="283" spans="1:33" s="1" customFormat="1" ht="16.5">
      <c r="A283" s="90"/>
      <c r="B283" s="88"/>
      <c r="C283" s="89"/>
      <c r="D283" s="18"/>
      <c r="E283" s="18"/>
      <c r="F283" s="18"/>
      <c r="G283" s="18"/>
      <c r="H283" s="89"/>
      <c r="I283" s="18"/>
      <c r="J283" s="18"/>
      <c r="K283" s="18"/>
      <c r="L283" s="89"/>
      <c r="M283" s="18"/>
      <c r="N283" s="18"/>
      <c r="O283" s="18"/>
      <c r="P283" s="18"/>
      <c r="Q283" s="18"/>
      <c r="R283" s="29"/>
      <c r="S283" s="18"/>
      <c r="T283" s="18"/>
      <c r="U283" s="18"/>
      <c r="V283" s="89"/>
      <c r="W283" s="18"/>
      <c r="X283" s="18"/>
      <c r="Y283" s="18"/>
      <c r="Z283" s="89"/>
      <c r="AA283" s="18"/>
      <c r="AB283" s="18"/>
      <c r="AC283" s="18"/>
      <c r="AD283" s="18"/>
      <c r="AE283" s="18"/>
      <c r="AF283" s="171"/>
      <c r="AG283" s="171"/>
    </row>
    <row r="284" spans="1:33" s="1" customFormat="1" ht="16.5">
      <c r="A284" s="90"/>
      <c r="B284" s="88"/>
      <c r="C284" s="89"/>
      <c r="D284" s="18"/>
      <c r="E284" s="18"/>
      <c r="F284" s="18"/>
      <c r="G284" s="18"/>
      <c r="H284" s="89"/>
      <c r="I284" s="18"/>
      <c r="J284" s="18"/>
      <c r="K284" s="18"/>
      <c r="L284" s="89"/>
      <c r="M284" s="18"/>
      <c r="N284" s="18"/>
      <c r="O284" s="18"/>
      <c r="P284" s="18"/>
      <c r="Q284" s="18"/>
      <c r="R284" s="29"/>
      <c r="S284" s="18"/>
      <c r="T284" s="18"/>
      <c r="U284" s="18"/>
      <c r="V284" s="89"/>
      <c r="W284" s="18"/>
      <c r="X284" s="18"/>
      <c r="Y284" s="18"/>
      <c r="Z284" s="89"/>
      <c r="AA284" s="18"/>
      <c r="AB284" s="18"/>
      <c r="AC284" s="18"/>
      <c r="AD284" s="18"/>
      <c r="AE284" s="18"/>
      <c r="AF284" s="171"/>
      <c r="AG284" s="171"/>
    </row>
    <row r="285" spans="1:33" s="1" customFormat="1" ht="16.5">
      <c r="A285" s="90"/>
      <c r="B285" s="88"/>
      <c r="C285" s="89"/>
      <c r="D285" s="18"/>
      <c r="E285" s="18"/>
      <c r="F285" s="18"/>
      <c r="G285" s="18"/>
      <c r="H285" s="89"/>
      <c r="I285" s="18"/>
      <c r="J285" s="18"/>
      <c r="K285" s="18"/>
      <c r="L285" s="89"/>
      <c r="M285" s="18"/>
      <c r="N285" s="18"/>
      <c r="O285" s="18"/>
      <c r="P285" s="18"/>
      <c r="Q285" s="18"/>
      <c r="R285" s="29"/>
      <c r="S285" s="18"/>
      <c r="T285" s="18"/>
      <c r="U285" s="18"/>
      <c r="V285" s="89"/>
      <c r="W285" s="18"/>
      <c r="X285" s="18"/>
      <c r="Y285" s="18"/>
      <c r="Z285" s="89"/>
      <c r="AA285" s="18"/>
      <c r="AB285" s="18"/>
      <c r="AC285" s="18"/>
      <c r="AD285" s="18"/>
      <c r="AE285" s="18"/>
      <c r="AF285" s="171"/>
      <c r="AG285" s="171"/>
    </row>
    <row r="286" spans="1:33" s="1" customFormat="1" ht="16.5">
      <c r="A286" s="90"/>
      <c r="B286" s="88"/>
      <c r="C286" s="89"/>
      <c r="D286" s="18"/>
      <c r="E286" s="18"/>
      <c r="F286" s="18"/>
      <c r="G286" s="18"/>
      <c r="H286" s="89"/>
      <c r="I286" s="18"/>
      <c r="J286" s="18"/>
      <c r="K286" s="18"/>
      <c r="L286" s="89"/>
      <c r="M286" s="18"/>
      <c r="N286" s="18"/>
      <c r="O286" s="18"/>
      <c r="P286" s="18"/>
      <c r="Q286" s="18"/>
      <c r="R286" s="29"/>
      <c r="S286" s="18"/>
      <c r="T286" s="18"/>
      <c r="U286" s="18"/>
      <c r="V286" s="89"/>
      <c r="W286" s="18"/>
      <c r="X286" s="18"/>
      <c r="Y286" s="18"/>
      <c r="Z286" s="89"/>
      <c r="AA286" s="18"/>
      <c r="AB286" s="18"/>
      <c r="AC286" s="18"/>
      <c r="AD286" s="18"/>
      <c r="AE286" s="18"/>
      <c r="AF286" s="171"/>
      <c r="AG286" s="171"/>
    </row>
    <row r="287" spans="1:33" s="1" customFormat="1" ht="16.5">
      <c r="A287" s="90"/>
      <c r="B287" s="88"/>
      <c r="C287" s="89"/>
      <c r="D287" s="18"/>
      <c r="E287" s="18"/>
      <c r="F287" s="18"/>
      <c r="G287" s="18"/>
      <c r="H287" s="89"/>
      <c r="I287" s="18"/>
      <c r="J287" s="18"/>
      <c r="K287" s="18"/>
      <c r="L287" s="89"/>
      <c r="M287" s="18"/>
      <c r="N287" s="18"/>
      <c r="O287" s="18"/>
      <c r="P287" s="18"/>
      <c r="Q287" s="18"/>
      <c r="R287" s="29"/>
      <c r="S287" s="18"/>
      <c r="T287" s="18"/>
      <c r="U287" s="18"/>
      <c r="V287" s="89"/>
      <c r="W287" s="18"/>
      <c r="X287" s="18"/>
      <c r="Y287" s="18"/>
      <c r="Z287" s="89"/>
      <c r="AA287" s="18"/>
      <c r="AB287" s="18"/>
      <c r="AC287" s="18"/>
      <c r="AD287" s="18"/>
      <c r="AE287" s="18"/>
      <c r="AF287" s="171"/>
      <c r="AG287" s="171"/>
    </row>
    <row r="288" spans="1:33" s="1" customFormat="1" ht="16.5">
      <c r="A288" s="90"/>
      <c r="B288" s="88"/>
      <c r="C288" s="89"/>
      <c r="D288" s="18"/>
      <c r="E288" s="18"/>
      <c r="F288" s="18"/>
      <c r="G288" s="18"/>
      <c r="H288" s="89"/>
      <c r="I288" s="18"/>
      <c r="J288" s="18"/>
      <c r="K288" s="18"/>
      <c r="L288" s="89"/>
      <c r="M288" s="18"/>
      <c r="N288" s="18"/>
      <c r="O288" s="18"/>
      <c r="P288" s="18"/>
      <c r="Q288" s="18"/>
      <c r="R288" s="29"/>
      <c r="S288" s="18"/>
      <c r="T288" s="18"/>
      <c r="U288" s="18"/>
      <c r="V288" s="89"/>
      <c r="W288" s="18"/>
      <c r="X288" s="18"/>
      <c r="Y288" s="18"/>
      <c r="Z288" s="89"/>
      <c r="AA288" s="18"/>
      <c r="AB288" s="18"/>
      <c r="AC288" s="18"/>
      <c r="AD288" s="18"/>
      <c r="AE288" s="18"/>
      <c r="AF288" s="171"/>
      <c r="AG288" s="171"/>
    </row>
    <row r="289" spans="1:33" s="1" customFormat="1" ht="16.5">
      <c r="A289" s="90"/>
      <c r="B289" s="88"/>
      <c r="C289" s="89"/>
      <c r="D289" s="18"/>
      <c r="E289" s="18"/>
      <c r="F289" s="18"/>
      <c r="G289" s="18"/>
      <c r="H289" s="89"/>
      <c r="I289" s="18"/>
      <c r="J289" s="18"/>
      <c r="K289" s="18"/>
      <c r="L289" s="89"/>
      <c r="M289" s="18"/>
      <c r="N289" s="18"/>
      <c r="O289" s="18"/>
      <c r="P289" s="18"/>
      <c r="Q289" s="18"/>
      <c r="R289" s="29"/>
      <c r="S289" s="18"/>
      <c r="T289" s="18"/>
      <c r="U289" s="18"/>
      <c r="V289" s="89"/>
      <c r="W289" s="18"/>
      <c r="X289" s="18"/>
      <c r="Y289" s="18"/>
      <c r="Z289" s="89"/>
      <c r="AA289" s="18"/>
      <c r="AB289" s="18"/>
      <c r="AC289" s="18"/>
      <c r="AD289" s="18"/>
      <c r="AE289" s="18"/>
      <c r="AF289" s="171"/>
      <c r="AG289" s="171"/>
    </row>
    <row r="290" spans="1:33" s="1" customFormat="1" ht="16.5">
      <c r="A290" s="90"/>
      <c r="B290" s="88"/>
      <c r="C290" s="89"/>
      <c r="D290" s="18"/>
      <c r="E290" s="18"/>
      <c r="F290" s="18"/>
      <c r="G290" s="18"/>
      <c r="H290" s="89"/>
      <c r="I290" s="18"/>
      <c r="J290" s="18"/>
      <c r="K290" s="18"/>
      <c r="L290" s="89"/>
      <c r="M290" s="18"/>
      <c r="N290" s="18"/>
      <c r="O290" s="18"/>
      <c r="P290" s="18"/>
      <c r="Q290" s="18"/>
      <c r="R290" s="29"/>
      <c r="S290" s="18"/>
      <c r="T290" s="18"/>
      <c r="U290" s="18"/>
      <c r="V290" s="89"/>
      <c r="W290" s="18"/>
      <c r="X290" s="18"/>
      <c r="Y290" s="18"/>
      <c r="Z290" s="89"/>
      <c r="AA290" s="18"/>
      <c r="AB290" s="18"/>
      <c r="AC290" s="18"/>
      <c r="AD290" s="18"/>
      <c r="AE290" s="18"/>
      <c r="AF290" s="171"/>
      <c r="AG290" s="171"/>
    </row>
    <row r="291" spans="1:33" s="1" customFormat="1" ht="16.5">
      <c r="A291" s="90"/>
      <c r="B291" s="88"/>
      <c r="C291" s="89"/>
      <c r="D291" s="18"/>
      <c r="E291" s="18"/>
      <c r="F291" s="18"/>
      <c r="G291" s="18"/>
      <c r="H291" s="89"/>
      <c r="I291" s="18"/>
      <c r="J291" s="18"/>
      <c r="K291" s="18"/>
      <c r="L291" s="89"/>
      <c r="M291" s="18"/>
      <c r="N291" s="18"/>
      <c r="O291" s="18"/>
      <c r="P291" s="18"/>
      <c r="Q291" s="18"/>
      <c r="R291" s="29"/>
      <c r="S291" s="18"/>
      <c r="T291" s="18"/>
      <c r="U291" s="18"/>
      <c r="V291" s="89"/>
      <c r="W291" s="18"/>
      <c r="X291" s="18"/>
      <c r="Y291" s="18"/>
      <c r="Z291" s="89"/>
      <c r="AA291" s="18"/>
      <c r="AB291" s="18"/>
      <c r="AC291" s="18"/>
      <c r="AD291" s="18"/>
      <c r="AE291" s="18"/>
      <c r="AF291" s="171"/>
      <c r="AG291" s="171"/>
    </row>
    <row r="292" spans="1:33" s="1" customFormat="1" ht="16.5">
      <c r="A292" s="90"/>
      <c r="B292" s="88"/>
      <c r="C292" s="89"/>
      <c r="D292" s="18"/>
      <c r="E292" s="18"/>
      <c r="F292" s="18"/>
      <c r="G292" s="18"/>
      <c r="H292" s="89"/>
      <c r="I292" s="18"/>
      <c r="J292" s="18"/>
      <c r="K292" s="18"/>
      <c r="L292" s="89"/>
      <c r="M292" s="18"/>
      <c r="N292" s="18"/>
      <c r="O292" s="18"/>
      <c r="P292" s="18"/>
      <c r="Q292" s="18"/>
      <c r="R292" s="29"/>
      <c r="S292" s="18"/>
      <c r="T292" s="18"/>
      <c r="U292" s="18"/>
      <c r="V292" s="89"/>
      <c r="W292" s="18"/>
      <c r="X292" s="18"/>
      <c r="Y292" s="18"/>
      <c r="Z292" s="89"/>
      <c r="AA292" s="18"/>
      <c r="AB292" s="18"/>
      <c r="AC292" s="18"/>
      <c r="AD292" s="18"/>
      <c r="AE292" s="18"/>
      <c r="AF292" s="171"/>
      <c r="AG292" s="171"/>
    </row>
    <row r="293" spans="1:33" s="1" customFormat="1" ht="16.5">
      <c r="A293" s="90"/>
      <c r="B293" s="88"/>
      <c r="C293" s="89"/>
      <c r="D293" s="18"/>
      <c r="E293" s="18"/>
      <c r="F293" s="18"/>
      <c r="G293" s="18"/>
      <c r="H293" s="89"/>
      <c r="I293" s="18"/>
      <c r="J293" s="18"/>
      <c r="K293" s="18"/>
      <c r="L293" s="89"/>
      <c r="M293" s="18"/>
      <c r="N293" s="18"/>
      <c r="O293" s="18"/>
      <c r="P293" s="18"/>
      <c r="Q293" s="18"/>
      <c r="R293" s="29"/>
      <c r="S293" s="18"/>
      <c r="T293" s="18"/>
      <c r="U293" s="18"/>
      <c r="V293" s="89"/>
      <c r="W293" s="18"/>
      <c r="X293" s="18"/>
      <c r="Y293" s="18"/>
      <c r="Z293" s="89"/>
      <c r="AA293" s="18"/>
      <c r="AB293" s="18"/>
      <c r="AC293" s="18"/>
      <c r="AD293" s="18"/>
      <c r="AE293" s="18"/>
      <c r="AF293" s="171"/>
      <c r="AG293" s="171"/>
    </row>
    <row r="294" spans="1:33" s="1" customFormat="1" ht="16.5">
      <c r="A294" s="90"/>
      <c r="B294" s="88"/>
      <c r="C294" s="89"/>
      <c r="D294" s="18"/>
      <c r="E294" s="18"/>
      <c r="F294" s="18"/>
      <c r="G294" s="18"/>
      <c r="H294" s="89"/>
      <c r="I294" s="18"/>
      <c r="J294" s="18"/>
      <c r="K294" s="18"/>
      <c r="L294" s="89"/>
      <c r="M294" s="18"/>
      <c r="N294" s="18"/>
      <c r="O294" s="18"/>
      <c r="P294" s="18"/>
      <c r="Q294" s="18"/>
      <c r="R294" s="29"/>
      <c r="S294" s="18"/>
      <c r="T294" s="18"/>
      <c r="U294" s="18"/>
      <c r="V294" s="89"/>
      <c r="W294" s="18"/>
      <c r="X294" s="18"/>
      <c r="Y294" s="18"/>
      <c r="Z294" s="89"/>
      <c r="AA294" s="18"/>
      <c r="AB294" s="18"/>
      <c r="AC294" s="18"/>
      <c r="AD294" s="18"/>
      <c r="AE294" s="18"/>
      <c r="AF294" s="171"/>
      <c r="AG294" s="171"/>
    </row>
    <row r="295" spans="1:33" s="1" customFormat="1" ht="16.5">
      <c r="A295" s="90"/>
      <c r="B295" s="88"/>
      <c r="C295" s="89"/>
      <c r="D295" s="18"/>
      <c r="E295" s="18"/>
      <c r="F295" s="18"/>
      <c r="G295" s="18"/>
      <c r="H295" s="89"/>
      <c r="I295" s="18"/>
      <c r="J295" s="18"/>
      <c r="K295" s="18"/>
      <c r="L295" s="89"/>
      <c r="M295" s="18"/>
      <c r="N295" s="18"/>
      <c r="O295" s="18"/>
      <c r="P295" s="18"/>
      <c r="Q295" s="18"/>
      <c r="R295" s="29"/>
      <c r="S295" s="18"/>
      <c r="T295" s="18"/>
      <c r="U295" s="18"/>
      <c r="V295" s="89"/>
      <c r="W295" s="18"/>
      <c r="X295" s="18"/>
      <c r="Y295" s="18"/>
      <c r="Z295" s="89"/>
      <c r="AA295" s="18"/>
      <c r="AB295" s="18"/>
      <c r="AC295" s="18"/>
      <c r="AD295" s="18"/>
      <c r="AE295" s="18"/>
      <c r="AF295" s="171"/>
      <c r="AG295" s="171"/>
    </row>
    <row r="296" spans="1:33" s="1" customFormat="1" ht="16.5">
      <c r="A296" s="90"/>
      <c r="B296" s="88"/>
      <c r="C296" s="89"/>
      <c r="D296" s="18"/>
      <c r="E296" s="18"/>
      <c r="F296" s="18"/>
      <c r="G296" s="18"/>
      <c r="H296" s="89"/>
      <c r="I296" s="18"/>
      <c r="J296" s="18"/>
      <c r="K296" s="18"/>
      <c r="L296" s="89"/>
      <c r="M296" s="18"/>
      <c r="N296" s="18"/>
      <c r="O296" s="18"/>
      <c r="P296" s="18"/>
      <c r="Q296" s="18"/>
      <c r="R296" s="29"/>
      <c r="S296" s="18"/>
      <c r="T296" s="18"/>
      <c r="U296" s="18"/>
      <c r="V296" s="89"/>
      <c r="W296" s="18"/>
      <c r="X296" s="18"/>
      <c r="Y296" s="18"/>
      <c r="Z296" s="89"/>
      <c r="AA296" s="18"/>
      <c r="AB296" s="18"/>
      <c r="AC296" s="18"/>
      <c r="AD296" s="18"/>
      <c r="AE296" s="18"/>
      <c r="AF296" s="171"/>
      <c r="AG296" s="171"/>
    </row>
    <row r="297" spans="1:33" s="1" customFormat="1" ht="16.5">
      <c r="A297" s="90"/>
      <c r="B297" s="88"/>
      <c r="C297" s="89"/>
      <c r="D297" s="18"/>
      <c r="E297" s="18"/>
      <c r="F297" s="18"/>
      <c r="G297" s="18"/>
      <c r="H297" s="89"/>
      <c r="I297" s="18"/>
      <c r="J297" s="18"/>
      <c r="K297" s="18"/>
      <c r="L297" s="89"/>
      <c r="M297" s="18"/>
      <c r="N297" s="18"/>
      <c r="O297" s="18"/>
      <c r="P297" s="18"/>
      <c r="Q297" s="18"/>
      <c r="R297" s="29"/>
      <c r="S297" s="18"/>
      <c r="T297" s="18"/>
      <c r="U297" s="18"/>
      <c r="V297" s="89"/>
      <c r="W297" s="18"/>
      <c r="X297" s="18"/>
      <c r="Y297" s="18"/>
      <c r="Z297" s="89"/>
      <c r="AA297" s="18"/>
      <c r="AB297" s="18"/>
      <c r="AC297" s="18"/>
      <c r="AD297" s="18"/>
      <c r="AE297" s="18"/>
      <c r="AF297" s="171"/>
      <c r="AG297" s="171"/>
    </row>
    <row r="298" spans="1:33" s="1" customFormat="1" ht="16.5">
      <c r="A298" s="90"/>
      <c r="B298" s="88"/>
      <c r="C298" s="89"/>
      <c r="D298" s="18"/>
      <c r="E298" s="18"/>
      <c r="F298" s="18"/>
      <c r="G298" s="18"/>
      <c r="H298" s="89"/>
      <c r="I298" s="18"/>
      <c r="J298" s="18"/>
      <c r="K298" s="18"/>
      <c r="L298" s="89"/>
      <c r="M298" s="18"/>
      <c r="N298" s="18"/>
      <c r="O298" s="18"/>
      <c r="P298" s="18"/>
      <c r="Q298" s="18"/>
      <c r="R298" s="29"/>
      <c r="S298" s="18"/>
      <c r="T298" s="18"/>
      <c r="U298" s="18"/>
      <c r="V298" s="89"/>
      <c r="W298" s="18"/>
      <c r="X298" s="18"/>
      <c r="Y298" s="18"/>
      <c r="Z298" s="89"/>
      <c r="AA298" s="18"/>
      <c r="AB298" s="18"/>
      <c r="AC298" s="18"/>
      <c r="AD298" s="18"/>
      <c r="AE298" s="18"/>
      <c r="AF298" s="171"/>
      <c r="AG298" s="171"/>
    </row>
    <row r="299" spans="1:33" s="1" customFormat="1" ht="16.5">
      <c r="A299" s="90"/>
      <c r="B299" s="88"/>
      <c r="C299" s="89"/>
      <c r="D299" s="18"/>
      <c r="E299" s="18"/>
      <c r="F299" s="18"/>
      <c r="G299" s="18"/>
      <c r="H299" s="89"/>
      <c r="I299" s="18"/>
      <c r="J299" s="18"/>
      <c r="K299" s="18"/>
      <c r="L299" s="89"/>
      <c r="M299" s="18"/>
      <c r="N299" s="18"/>
      <c r="O299" s="18"/>
      <c r="P299" s="18"/>
      <c r="Q299" s="18"/>
      <c r="R299" s="29"/>
      <c r="S299" s="18"/>
      <c r="T299" s="18"/>
      <c r="U299" s="18"/>
      <c r="V299" s="89"/>
      <c r="W299" s="18"/>
      <c r="X299" s="18"/>
      <c r="Y299" s="18"/>
      <c r="Z299" s="89"/>
      <c r="AA299" s="18"/>
      <c r="AB299" s="18"/>
      <c r="AC299" s="18"/>
      <c r="AD299" s="18"/>
      <c r="AE299" s="18"/>
      <c r="AF299" s="171"/>
      <c r="AG299" s="171"/>
    </row>
    <row r="300" spans="1:33" s="1" customFormat="1" ht="16.5">
      <c r="A300" s="90"/>
      <c r="B300" s="88"/>
      <c r="C300" s="89"/>
      <c r="D300" s="18"/>
      <c r="E300" s="18"/>
      <c r="F300" s="18"/>
      <c r="G300" s="18"/>
      <c r="H300" s="89"/>
      <c r="I300" s="18"/>
      <c r="J300" s="18"/>
      <c r="K300" s="18"/>
      <c r="L300" s="89"/>
      <c r="M300" s="18"/>
      <c r="N300" s="18"/>
      <c r="O300" s="18"/>
      <c r="P300" s="18"/>
      <c r="Q300" s="18"/>
      <c r="R300" s="29"/>
      <c r="S300" s="18"/>
      <c r="T300" s="18"/>
      <c r="U300" s="18"/>
      <c r="V300" s="89"/>
      <c r="W300" s="18"/>
      <c r="X300" s="18"/>
      <c r="Y300" s="18"/>
      <c r="Z300" s="89"/>
      <c r="AA300" s="18"/>
      <c r="AB300" s="18"/>
      <c r="AC300" s="18"/>
      <c r="AD300" s="18"/>
      <c r="AE300" s="18"/>
      <c r="AF300" s="171"/>
      <c r="AG300" s="171"/>
    </row>
    <row r="301" spans="1:33" s="1" customFormat="1" ht="16.5">
      <c r="A301" s="90"/>
      <c r="B301" s="88"/>
      <c r="C301" s="89"/>
      <c r="D301" s="18"/>
      <c r="E301" s="18"/>
      <c r="F301" s="18"/>
      <c r="G301" s="18"/>
      <c r="H301" s="89"/>
      <c r="I301" s="18"/>
      <c r="J301" s="18"/>
      <c r="K301" s="18"/>
      <c r="L301" s="89"/>
      <c r="M301" s="18"/>
      <c r="N301" s="18"/>
      <c r="O301" s="18"/>
      <c r="P301" s="18"/>
      <c r="Q301" s="18"/>
      <c r="R301" s="29"/>
      <c r="S301" s="18"/>
      <c r="T301" s="18"/>
      <c r="U301" s="18"/>
      <c r="V301" s="89"/>
      <c r="W301" s="18"/>
      <c r="X301" s="18"/>
      <c r="Y301" s="18"/>
      <c r="Z301" s="89"/>
      <c r="AA301" s="18"/>
      <c r="AB301" s="18"/>
      <c r="AC301" s="18"/>
      <c r="AD301" s="18"/>
      <c r="AE301" s="18"/>
      <c r="AF301" s="171"/>
      <c r="AG301" s="171"/>
    </row>
    <row r="302" spans="1:33" s="1" customFormat="1" ht="16.5">
      <c r="A302" s="90"/>
      <c r="B302" s="88"/>
      <c r="C302" s="89"/>
      <c r="D302" s="18"/>
      <c r="E302" s="18"/>
      <c r="F302" s="18"/>
      <c r="G302" s="18"/>
      <c r="H302" s="89"/>
      <c r="I302" s="18"/>
      <c r="J302" s="18"/>
      <c r="K302" s="18"/>
      <c r="L302" s="89"/>
      <c r="M302" s="18"/>
      <c r="N302" s="18"/>
      <c r="O302" s="18"/>
      <c r="P302" s="18"/>
      <c r="Q302" s="18"/>
      <c r="R302" s="29"/>
      <c r="S302" s="18"/>
      <c r="T302" s="18"/>
      <c r="U302" s="18"/>
      <c r="V302" s="89"/>
      <c r="W302" s="18"/>
      <c r="X302" s="18"/>
      <c r="Y302" s="18"/>
      <c r="Z302" s="89"/>
      <c r="AA302" s="18"/>
      <c r="AB302" s="18"/>
      <c r="AC302" s="18"/>
      <c r="AD302" s="18"/>
      <c r="AE302" s="18"/>
      <c r="AF302" s="171"/>
      <c r="AG302" s="171"/>
    </row>
    <row r="303" spans="1:33" s="1" customFormat="1" ht="16.5">
      <c r="A303" s="90"/>
      <c r="B303" s="88"/>
      <c r="C303" s="89"/>
      <c r="D303" s="18"/>
      <c r="E303" s="18"/>
      <c r="F303" s="18"/>
      <c r="G303" s="18"/>
      <c r="H303" s="89"/>
      <c r="I303" s="18"/>
      <c r="J303" s="18"/>
      <c r="K303" s="18"/>
      <c r="L303" s="89"/>
      <c r="M303" s="18"/>
      <c r="N303" s="18"/>
      <c r="O303" s="18"/>
      <c r="P303" s="18"/>
      <c r="Q303" s="18"/>
      <c r="R303" s="29"/>
      <c r="S303" s="18"/>
      <c r="T303" s="18"/>
      <c r="U303" s="18"/>
      <c r="V303" s="89"/>
      <c r="W303" s="18"/>
      <c r="X303" s="18"/>
      <c r="Y303" s="18"/>
      <c r="Z303" s="89"/>
      <c r="AA303" s="18"/>
      <c r="AB303" s="18"/>
      <c r="AC303" s="18"/>
      <c r="AD303" s="18"/>
      <c r="AE303" s="18"/>
      <c r="AF303" s="171"/>
      <c r="AG303" s="171"/>
    </row>
    <row r="304" spans="1:33" s="1" customFormat="1" ht="16.5">
      <c r="A304" s="90"/>
      <c r="B304" s="88"/>
      <c r="C304" s="89"/>
      <c r="D304" s="18"/>
      <c r="E304" s="18"/>
      <c r="F304" s="18"/>
      <c r="G304" s="18"/>
      <c r="H304" s="89"/>
      <c r="I304" s="18"/>
      <c r="J304" s="18"/>
      <c r="K304" s="18"/>
      <c r="L304" s="89"/>
      <c r="M304" s="18"/>
      <c r="N304" s="18"/>
      <c r="O304" s="18"/>
      <c r="P304" s="18"/>
      <c r="Q304" s="18"/>
      <c r="R304" s="29"/>
      <c r="S304" s="18"/>
      <c r="T304" s="18"/>
      <c r="U304" s="18"/>
      <c r="V304" s="89"/>
      <c r="W304" s="18"/>
      <c r="X304" s="18"/>
      <c r="Y304" s="18"/>
      <c r="Z304" s="89"/>
      <c r="AA304" s="18"/>
      <c r="AB304" s="18"/>
      <c r="AC304" s="18"/>
      <c r="AD304" s="18"/>
      <c r="AE304" s="18"/>
      <c r="AF304" s="171"/>
      <c r="AG304" s="171"/>
    </row>
    <row r="305" spans="1:33" s="1" customFormat="1" ht="16.5">
      <c r="A305" s="90"/>
      <c r="B305" s="88"/>
      <c r="C305" s="89"/>
      <c r="D305" s="18"/>
      <c r="E305" s="18"/>
      <c r="F305" s="18"/>
      <c r="G305" s="18"/>
      <c r="H305" s="89"/>
      <c r="I305" s="18"/>
      <c r="J305" s="18"/>
      <c r="K305" s="18"/>
      <c r="L305" s="89"/>
      <c r="M305" s="18"/>
      <c r="N305" s="18"/>
      <c r="O305" s="18"/>
      <c r="P305" s="18"/>
      <c r="Q305" s="18"/>
      <c r="R305" s="29"/>
      <c r="S305" s="18"/>
      <c r="T305" s="18"/>
      <c r="U305" s="18"/>
      <c r="V305" s="89"/>
      <c r="W305" s="18"/>
      <c r="X305" s="18"/>
      <c r="Y305" s="18"/>
      <c r="Z305" s="89"/>
      <c r="AA305" s="18"/>
      <c r="AB305" s="18"/>
      <c r="AC305" s="18"/>
      <c r="AD305" s="18"/>
      <c r="AE305" s="18"/>
      <c r="AF305" s="171"/>
      <c r="AG305" s="171"/>
    </row>
    <row r="306" spans="1:33" s="1" customFormat="1" ht="16.5">
      <c r="A306" s="90"/>
      <c r="B306" s="88"/>
      <c r="C306" s="89"/>
      <c r="D306" s="18"/>
      <c r="E306" s="18"/>
      <c r="F306" s="18"/>
      <c r="G306" s="18"/>
      <c r="H306" s="89"/>
      <c r="I306" s="18"/>
      <c r="J306" s="18"/>
      <c r="K306" s="18"/>
      <c r="L306" s="89"/>
      <c r="M306" s="18"/>
      <c r="N306" s="18"/>
      <c r="O306" s="18"/>
      <c r="P306" s="18"/>
      <c r="Q306" s="18"/>
      <c r="R306" s="29"/>
      <c r="S306" s="18"/>
      <c r="T306" s="18"/>
      <c r="U306" s="18"/>
      <c r="V306" s="89"/>
      <c r="W306" s="18"/>
      <c r="X306" s="18"/>
      <c r="Y306" s="18"/>
      <c r="Z306" s="89"/>
      <c r="AA306" s="18"/>
      <c r="AB306" s="18"/>
      <c r="AC306" s="18"/>
      <c r="AD306" s="18"/>
      <c r="AE306" s="18"/>
      <c r="AF306" s="171"/>
      <c r="AG306" s="171"/>
    </row>
    <row r="307" spans="1:33" s="1" customFormat="1" ht="16.5">
      <c r="A307" s="90"/>
      <c r="B307" s="88"/>
      <c r="C307" s="89"/>
      <c r="D307" s="18"/>
      <c r="E307" s="18"/>
      <c r="F307" s="18"/>
      <c r="G307" s="18"/>
      <c r="H307" s="89"/>
      <c r="I307" s="18"/>
      <c r="J307" s="18"/>
      <c r="K307" s="18"/>
      <c r="L307" s="89"/>
      <c r="M307" s="18"/>
      <c r="N307" s="18"/>
      <c r="O307" s="18"/>
      <c r="P307" s="18"/>
      <c r="Q307" s="18"/>
      <c r="R307" s="29"/>
      <c r="S307" s="18"/>
      <c r="T307" s="18"/>
      <c r="U307" s="18"/>
      <c r="V307" s="89"/>
      <c r="W307" s="18"/>
      <c r="X307" s="18"/>
      <c r="Y307" s="18"/>
      <c r="Z307" s="89"/>
      <c r="AA307" s="18"/>
      <c r="AB307" s="18"/>
      <c r="AC307" s="18"/>
      <c r="AD307" s="18"/>
      <c r="AE307" s="18"/>
      <c r="AF307" s="171"/>
      <c r="AG307" s="171"/>
    </row>
    <row r="308" spans="1:33" s="1" customFormat="1" ht="16.5">
      <c r="A308" s="90"/>
      <c r="B308" s="88"/>
      <c r="C308" s="89"/>
      <c r="D308" s="18"/>
      <c r="E308" s="18"/>
      <c r="F308" s="18"/>
      <c r="G308" s="18"/>
      <c r="H308" s="89"/>
      <c r="I308" s="18"/>
      <c r="J308" s="18"/>
      <c r="K308" s="18"/>
      <c r="L308" s="89"/>
      <c r="M308" s="18"/>
      <c r="N308" s="18"/>
      <c r="O308" s="18"/>
      <c r="P308" s="18"/>
      <c r="Q308" s="18"/>
      <c r="R308" s="29"/>
      <c r="S308" s="18"/>
      <c r="T308" s="18"/>
      <c r="U308" s="18"/>
      <c r="V308" s="89"/>
      <c r="W308" s="18"/>
      <c r="X308" s="18"/>
      <c r="Y308" s="18"/>
      <c r="Z308" s="89"/>
      <c r="AA308" s="18"/>
      <c r="AB308" s="18"/>
      <c r="AC308" s="18"/>
      <c r="AD308" s="18"/>
      <c r="AE308" s="18"/>
      <c r="AF308" s="171"/>
      <c r="AG308" s="171"/>
    </row>
    <row r="309" spans="1:33" s="1" customFormat="1" ht="16.5">
      <c r="A309" s="90"/>
      <c r="B309" s="88"/>
      <c r="C309" s="89"/>
      <c r="D309" s="18"/>
      <c r="E309" s="18"/>
      <c r="F309" s="18"/>
      <c r="G309" s="18"/>
      <c r="H309" s="89"/>
      <c r="I309" s="18"/>
      <c r="J309" s="18"/>
      <c r="K309" s="18"/>
      <c r="L309" s="89"/>
      <c r="M309" s="18"/>
      <c r="N309" s="18"/>
      <c r="O309" s="18"/>
      <c r="P309" s="18"/>
      <c r="Q309" s="18"/>
      <c r="R309" s="29"/>
      <c r="S309" s="18"/>
      <c r="T309" s="18"/>
      <c r="U309" s="18"/>
      <c r="V309" s="89"/>
      <c r="W309" s="18"/>
      <c r="X309" s="18"/>
      <c r="Y309" s="18"/>
      <c r="Z309" s="89"/>
      <c r="AA309" s="18"/>
      <c r="AB309" s="18"/>
      <c r="AC309" s="18"/>
      <c r="AD309" s="18"/>
      <c r="AE309" s="18"/>
      <c r="AF309" s="171"/>
      <c r="AG309" s="171"/>
    </row>
    <row r="310" spans="1:33" s="1" customFormat="1" ht="16.5">
      <c r="A310" s="90"/>
      <c r="B310" s="88"/>
      <c r="C310" s="89"/>
      <c r="D310" s="18"/>
      <c r="E310" s="18"/>
      <c r="F310" s="18"/>
      <c r="G310" s="18"/>
      <c r="H310" s="89"/>
      <c r="I310" s="18"/>
      <c r="J310" s="18"/>
      <c r="K310" s="18"/>
      <c r="L310" s="89"/>
      <c r="M310" s="18"/>
      <c r="N310" s="18"/>
      <c r="O310" s="18"/>
      <c r="P310" s="18"/>
      <c r="Q310" s="18"/>
      <c r="R310" s="29"/>
      <c r="S310" s="18"/>
      <c r="T310" s="18"/>
      <c r="U310" s="18"/>
      <c r="V310" s="89"/>
      <c r="W310" s="18"/>
      <c r="X310" s="18"/>
      <c r="Y310" s="18"/>
      <c r="Z310" s="89"/>
      <c r="AA310" s="18"/>
      <c r="AB310" s="18"/>
      <c r="AC310" s="18"/>
      <c r="AD310" s="18"/>
      <c r="AE310" s="18"/>
      <c r="AF310" s="171"/>
      <c r="AG310" s="171"/>
    </row>
    <row r="311" spans="1:33" s="1" customFormat="1" ht="16.5">
      <c r="A311" s="90"/>
      <c r="B311" s="88"/>
      <c r="C311" s="89"/>
      <c r="D311" s="18"/>
      <c r="E311" s="18"/>
      <c r="F311" s="18"/>
      <c r="G311" s="18"/>
      <c r="H311" s="89"/>
      <c r="I311" s="18"/>
      <c r="J311" s="18"/>
      <c r="K311" s="18"/>
      <c r="L311" s="89"/>
      <c r="M311" s="18"/>
      <c r="N311" s="18"/>
      <c r="O311" s="18"/>
      <c r="P311" s="18"/>
      <c r="Q311" s="18"/>
      <c r="R311" s="29"/>
      <c r="S311" s="18"/>
      <c r="T311" s="18"/>
      <c r="U311" s="18"/>
      <c r="V311" s="89"/>
      <c r="W311" s="18"/>
      <c r="X311" s="18"/>
      <c r="Y311" s="18"/>
      <c r="Z311" s="89"/>
      <c r="AA311" s="18"/>
      <c r="AB311" s="18"/>
      <c r="AC311" s="18"/>
      <c r="AD311" s="18"/>
      <c r="AE311" s="18"/>
      <c r="AF311" s="171"/>
      <c r="AG311" s="171"/>
    </row>
    <row r="312" spans="1:33" s="1" customFormat="1" ht="16.5">
      <c r="A312" s="90"/>
      <c r="B312" s="88"/>
      <c r="C312" s="89"/>
      <c r="D312" s="18"/>
      <c r="E312" s="18"/>
      <c r="F312" s="18"/>
      <c r="G312" s="18"/>
      <c r="H312" s="89"/>
      <c r="I312" s="18"/>
      <c r="J312" s="18"/>
      <c r="K312" s="18"/>
      <c r="L312" s="89"/>
      <c r="M312" s="18"/>
      <c r="N312" s="18"/>
      <c r="O312" s="18"/>
      <c r="P312" s="18"/>
      <c r="Q312" s="18"/>
      <c r="R312" s="29"/>
      <c r="S312" s="18"/>
      <c r="T312" s="18"/>
      <c r="U312" s="18"/>
      <c r="V312" s="89"/>
      <c r="W312" s="18"/>
      <c r="X312" s="18"/>
      <c r="Y312" s="18"/>
      <c r="Z312" s="89"/>
      <c r="AA312" s="18"/>
      <c r="AB312" s="18"/>
      <c r="AC312" s="18"/>
      <c r="AD312" s="18"/>
      <c r="AE312" s="18"/>
      <c r="AF312" s="171"/>
      <c r="AG312" s="171"/>
    </row>
  </sheetData>
  <sheetProtection/>
  <mergeCells count="37">
    <mergeCell ref="AG5:AG7"/>
    <mergeCell ref="AF1:AG1"/>
    <mergeCell ref="O1:P1"/>
    <mergeCell ref="X1:Y1"/>
    <mergeCell ref="Z3:AG3"/>
    <mergeCell ref="Q3:Y3"/>
    <mergeCell ref="AF4:AG4"/>
    <mergeCell ref="Z2:AG2"/>
    <mergeCell ref="Q2:Y2"/>
    <mergeCell ref="AF6:AF7"/>
    <mergeCell ref="B5:B6"/>
    <mergeCell ref="Q4:R4"/>
    <mergeCell ref="Q5:Q6"/>
    <mergeCell ref="A38:D38"/>
    <mergeCell ref="A37:B37"/>
    <mergeCell ref="C6:G6"/>
    <mergeCell ref="C5:G5"/>
    <mergeCell ref="A2:G2"/>
    <mergeCell ref="H2:P2"/>
    <mergeCell ref="H6:K6"/>
    <mergeCell ref="L6:P6"/>
    <mergeCell ref="A3:G3"/>
    <mergeCell ref="A4:B4"/>
    <mergeCell ref="H3:P3"/>
    <mergeCell ref="H5:P5"/>
    <mergeCell ref="O4:P4"/>
    <mergeCell ref="A5:A6"/>
    <mergeCell ref="Z1:AA1"/>
    <mergeCell ref="Z5:AF5"/>
    <mergeCell ref="Y6:Y7"/>
    <mergeCell ref="Z6:AB6"/>
    <mergeCell ref="R5:Y5"/>
    <mergeCell ref="R6:U6"/>
    <mergeCell ref="AC6:AC7"/>
    <mergeCell ref="AD6:AD7"/>
    <mergeCell ref="V6:X6"/>
    <mergeCell ref="AE6:AE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41"/>
  <sheetViews>
    <sheetView tabSelected="1" zoomScalePageLayoutView="0" workbookViewId="0" topLeftCell="A5">
      <pane xSplit="2" ySplit="17" topLeftCell="C31" activePane="bottomRight" state="frozen"/>
      <selection pane="topLeft" activeCell="A5" sqref="A5"/>
      <selection pane="topRight" activeCell="C5" sqref="C5"/>
      <selection pane="bottomLeft" activeCell="A22" sqref="A22"/>
      <selection pane="bottomRight" activeCell="D45" sqref="D45"/>
    </sheetView>
  </sheetViews>
  <sheetFormatPr defaultColWidth="9.00390625" defaultRowHeight="16.5"/>
  <cols>
    <col min="1" max="1" width="10.125" style="18" customWidth="1"/>
    <col min="2" max="2" width="12.75390625" style="18" customWidth="1"/>
    <col min="3" max="7" width="13.375" style="30" customWidth="1"/>
    <col min="8" max="8" width="13.125" style="30" customWidth="1"/>
    <col min="9" max="9" width="15.50390625" style="30" customWidth="1"/>
    <col min="10" max="13" width="14.75390625" style="30" customWidth="1"/>
  </cols>
  <sheetData>
    <row r="1" spans="3:13" s="114" customFormat="1" ht="16.5">
      <c r="C1" s="77"/>
      <c r="D1" s="77"/>
      <c r="E1" s="77"/>
      <c r="F1" s="374" t="s">
        <v>307</v>
      </c>
      <c r="G1" s="375"/>
      <c r="H1" s="371" t="s">
        <v>163</v>
      </c>
      <c r="I1" s="372"/>
      <c r="J1" s="77"/>
      <c r="K1" s="77"/>
      <c r="L1" s="77"/>
      <c r="M1" s="118"/>
    </row>
    <row r="2" spans="1:94" ht="24.75" customHeight="1">
      <c r="A2" s="385" t="s">
        <v>300</v>
      </c>
      <c r="B2" s="386"/>
      <c r="C2" s="386"/>
      <c r="D2" s="386"/>
      <c r="E2" s="386"/>
      <c r="F2" s="386"/>
      <c r="G2" s="386"/>
      <c r="H2" s="387" t="s">
        <v>311</v>
      </c>
      <c r="I2" s="387"/>
      <c r="J2" s="387"/>
      <c r="K2" s="387"/>
      <c r="L2" s="387"/>
      <c r="M2" s="38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</row>
    <row r="3" spans="1:94" ht="24.75" customHeight="1">
      <c r="A3" s="388" t="s">
        <v>150</v>
      </c>
      <c r="B3" s="389"/>
      <c r="C3" s="389"/>
      <c r="D3" s="389"/>
      <c r="E3" s="389"/>
      <c r="F3" s="389"/>
      <c r="G3" s="389"/>
      <c r="H3" s="300" t="s">
        <v>11</v>
      </c>
      <c r="I3" s="300"/>
      <c r="J3" s="300"/>
      <c r="K3" s="300"/>
      <c r="L3" s="300"/>
      <c r="M3" s="300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</row>
    <row r="4" spans="1:94" ht="16.5" customHeight="1">
      <c r="A4" s="343" t="s">
        <v>1</v>
      </c>
      <c r="B4" s="344"/>
      <c r="C4" s="79"/>
      <c r="D4" s="79"/>
      <c r="E4" s="79"/>
      <c r="F4" s="79"/>
      <c r="G4" s="79"/>
      <c r="H4" s="79"/>
      <c r="I4" s="92"/>
      <c r="J4" s="79"/>
      <c r="K4" s="79"/>
      <c r="L4" s="317" t="s">
        <v>108</v>
      </c>
      <c r="M4" s="31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</row>
    <row r="5" spans="1:13" s="30" customFormat="1" ht="40.5" customHeight="1">
      <c r="A5" s="380" t="s">
        <v>151</v>
      </c>
      <c r="B5" s="381"/>
      <c r="C5" s="156" t="s">
        <v>285</v>
      </c>
      <c r="D5" s="152" t="s">
        <v>286</v>
      </c>
      <c r="E5" s="152" t="s">
        <v>287</v>
      </c>
      <c r="F5" s="152" t="s">
        <v>288</v>
      </c>
      <c r="G5" s="157" t="s">
        <v>289</v>
      </c>
      <c r="H5" s="158" t="s">
        <v>294</v>
      </c>
      <c r="I5" s="159" t="s">
        <v>290</v>
      </c>
      <c r="J5" s="160" t="s">
        <v>291</v>
      </c>
      <c r="K5" s="159" t="s">
        <v>267</v>
      </c>
      <c r="L5" s="157" t="s">
        <v>292</v>
      </c>
      <c r="M5" s="152" t="s">
        <v>293</v>
      </c>
    </row>
    <row r="6" spans="1:29" ht="26.25" customHeight="1" hidden="1">
      <c r="A6" s="373" t="s">
        <v>217</v>
      </c>
      <c r="B6" s="134" t="s">
        <v>215</v>
      </c>
      <c r="C6" s="135">
        <f aca="true" t="shared" si="0" ref="C6:C11">SUM(D6:M6)</f>
        <v>72075</v>
      </c>
      <c r="D6" s="135">
        <v>60656</v>
      </c>
      <c r="E6" s="136">
        <v>0</v>
      </c>
      <c r="F6" s="135">
        <v>58</v>
      </c>
      <c r="G6" s="135">
        <v>400</v>
      </c>
      <c r="H6" s="135">
        <v>171</v>
      </c>
      <c r="I6" s="136">
        <v>0</v>
      </c>
      <c r="J6" s="136">
        <v>10074</v>
      </c>
      <c r="K6" s="136">
        <v>0</v>
      </c>
      <c r="L6" s="136">
        <v>716</v>
      </c>
      <c r="M6" s="136">
        <v>0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4.75" customHeight="1" hidden="1">
      <c r="A7" s="325"/>
      <c r="B7" s="134" t="s">
        <v>216</v>
      </c>
      <c r="C7" s="135">
        <f t="shared" si="0"/>
        <v>162315</v>
      </c>
      <c r="D7" s="135">
        <v>60656</v>
      </c>
      <c r="E7" s="136">
        <v>0</v>
      </c>
      <c r="F7" s="135">
        <v>58</v>
      </c>
      <c r="G7" s="135">
        <v>400</v>
      </c>
      <c r="H7" s="135">
        <v>171</v>
      </c>
      <c r="I7" s="136">
        <v>0</v>
      </c>
      <c r="J7" s="136">
        <v>100314</v>
      </c>
      <c r="K7" s="136">
        <v>0</v>
      </c>
      <c r="L7" s="136">
        <v>716</v>
      </c>
      <c r="M7" s="136">
        <v>0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26.25" customHeight="1" hidden="1">
      <c r="A8" s="373" t="s">
        <v>218</v>
      </c>
      <c r="B8" s="134" t="s">
        <v>215</v>
      </c>
      <c r="C8" s="135">
        <f t="shared" si="0"/>
        <v>117584</v>
      </c>
      <c r="D8" s="135">
        <v>69096</v>
      </c>
      <c r="E8" s="136">
        <v>0</v>
      </c>
      <c r="F8" s="135">
        <v>40</v>
      </c>
      <c r="G8" s="135">
        <v>400</v>
      </c>
      <c r="H8" s="135">
        <v>170</v>
      </c>
      <c r="I8" s="136">
        <v>0</v>
      </c>
      <c r="J8" s="136">
        <v>47301</v>
      </c>
      <c r="K8" s="136">
        <v>0</v>
      </c>
      <c r="L8" s="136">
        <v>577</v>
      </c>
      <c r="M8" s="136">
        <v>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25.5" customHeight="1" hidden="1">
      <c r="A9" s="325"/>
      <c r="B9" s="134" t="s">
        <v>216</v>
      </c>
      <c r="C9" s="135">
        <f t="shared" si="0"/>
        <v>144940</v>
      </c>
      <c r="D9" s="135">
        <v>69096</v>
      </c>
      <c r="E9" s="136">
        <v>0</v>
      </c>
      <c r="F9" s="135">
        <v>40</v>
      </c>
      <c r="G9" s="135">
        <v>400</v>
      </c>
      <c r="H9" s="135">
        <v>170</v>
      </c>
      <c r="I9" s="136">
        <v>0</v>
      </c>
      <c r="J9" s="136">
        <v>74657</v>
      </c>
      <c r="K9" s="136">
        <v>0</v>
      </c>
      <c r="L9" s="136">
        <v>577</v>
      </c>
      <c r="M9" s="136">
        <v>0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25.5" customHeight="1" hidden="1">
      <c r="A10" s="373" t="s">
        <v>219</v>
      </c>
      <c r="B10" s="134" t="s">
        <v>215</v>
      </c>
      <c r="C10" s="137">
        <f t="shared" si="0"/>
        <v>92800</v>
      </c>
      <c r="D10" s="137">
        <v>76386</v>
      </c>
      <c r="E10" s="137">
        <v>0</v>
      </c>
      <c r="F10" s="137">
        <v>20</v>
      </c>
      <c r="G10" s="137">
        <v>386</v>
      </c>
      <c r="H10" s="137">
        <v>143</v>
      </c>
      <c r="I10" s="137">
        <v>0</v>
      </c>
      <c r="J10" s="137">
        <v>15664</v>
      </c>
      <c r="K10" s="137">
        <v>0</v>
      </c>
      <c r="L10" s="137">
        <v>201</v>
      </c>
      <c r="M10" s="138">
        <v>0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13" ht="25.5" customHeight="1" hidden="1">
      <c r="A11" s="325"/>
      <c r="B11" s="134" t="s">
        <v>216</v>
      </c>
      <c r="C11" s="139">
        <f t="shared" si="0"/>
        <v>113387</v>
      </c>
      <c r="D11" s="139">
        <v>76386</v>
      </c>
      <c r="E11" s="139">
        <v>0</v>
      </c>
      <c r="F11" s="139">
        <v>160</v>
      </c>
      <c r="G11" s="139">
        <v>386</v>
      </c>
      <c r="H11" s="139">
        <v>59</v>
      </c>
      <c r="I11" s="139">
        <v>0</v>
      </c>
      <c r="J11" s="139">
        <v>36075</v>
      </c>
      <c r="K11" s="139">
        <v>0</v>
      </c>
      <c r="L11" s="139">
        <v>321</v>
      </c>
      <c r="M11" s="139">
        <v>0</v>
      </c>
    </row>
    <row r="12" spans="1:13" ht="27" customHeight="1" hidden="1">
      <c r="A12" s="373" t="s">
        <v>220</v>
      </c>
      <c r="B12" s="140" t="s">
        <v>215</v>
      </c>
      <c r="C12" s="141">
        <f>SUM(D12:M12)</f>
        <v>110378</v>
      </c>
      <c r="D12" s="141">
        <v>78571</v>
      </c>
      <c r="E12" s="141">
        <v>0</v>
      </c>
      <c r="F12" s="141">
        <v>20</v>
      </c>
      <c r="G12" s="141">
        <v>386</v>
      </c>
      <c r="H12" s="141">
        <v>156</v>
      </c>
      <c r="I12" s="141">
        <v>0</v>
      </c>
      <c r="J12" s="141">
        <v>30983</v>
      </c>
      <c r="K12" s="141">
        <v>0</v>
      </c>
      <c r="L12" s="141">
        <v>262</v>
      </c>
      <c r="M12" s="142">
        <v>0</v>
      </c>
    </row>
    <row r="13" spans="1:13" ht="25.5" customHeight="1" hidden="1">
      <c r="A13" s="325"/>
      <c r="B13" s="140" t="s">
        <v>216</v>
      </c>
      <c r="C13" s="143">
        <f>SUM(D13:M13)</f>
        <v>128399</v>
      </c>
      <c r="D13" s="143">
        <v>78571</v>
      </c>
      <c r="E13" s="143">
        <v>0</v>
      </c>
      <c r="F13" s="143">
        <v>140</v>
      </c>
      <c r="G13" s="143">
        <v>0</v>
      </c>
      <c r="H13" s="143">
        <v>211</v>
      </c>
      <c r="I13" s="143">
        <v>0</v>
      </c>
      <c r="J13" s="143">
        <v>49105</v>
      </c>
      <c r="K13" s="143">
        <v>10</v>
      </c>
      <c r="L13" s="143">
        <v>362</v>
      </c>
      <c r="M13" s="143">
        <v>0</v>
      </c>
    </row>
    <row r="14" spans="1:13" ht="25.5" customHeight="1" hidden="1">
      <c r="A14" s="373" t="s">
        <v>221</v>
      </c>
      <c r="B14" s="140" t="s">
        <v>215</v>
      </c>
      <c r="C14" s="141">
        <f>SUM(D14:M14)</f>
        <v>110443</v>
      </c>
      <c r="D14" s="141">
        <v>89040</v>
      </c>
      <c r="E14" s="141">
        <v>0</v>
      </c>
      <c r="F14" s="141">
        <v>20</v>
      </c>
      <c r="G14" s="141">
        <v>386</v>
      </c>
      <c r="H14" s="141">
        <v>288</v>
      </c>
      <c r="I14" s="141">
        <v>0</v>
      </c>
      <c r="J14" s="141">
        <v>20367</v>
      </c>
      <c r="K14" s="141">
        <v>0</v>
      </c>
      <c r="L14" s="141">
        <v>342</v>
      </c>
      <c r="M14" s="142">
        <v>0</v>
      </c>
    </row>
    <row r="15" spans="1:13" ht="25.5" customHeight="1" hidden="1">
      <c r="A15" s="325"/>
      <c r="B15" s="140" t="s">
        <v>216</v>
      </c>
      <c r="C15" s="141">
        <f>SUM(D15:M15)</f>
        <v>122353</v>
      </c>
      <c r="D15" s="143">
        <v>89040</v>
      </c>
      <c r="E15" s="143">
        <v>0</v>
      </c>
      <c r="F15" s="143">
        <v>20</v>
      </c>
      <c r="G15" s="143">
        <v>386</v>
      </c>
      <c r="H15" s="143">
        <v>288</v>
      </c>
      <c r="I15" s="143">
        <v>0</v>
      </c>
      <c r="J15" s="143">
        <v>31925</v>
      </c>
      <c r="K15" s="143">
        <v>0</v>
      </c>
      <c r="L15" s="143">
        <v>694</v>
      </c>
      <c r="M15" s="143">
        <v>0</v>
      </c>
    </row>
    <row r="16" spans="1:13" s="51" customFormat="1" ht="25.5" customHeight="1" hidden="1">
      <c r="A16" s="332" t="s">
        <v>222</v>
      </c>
      <c r="B16" s="140" t="s">
        <v>215</v>
      </c>
      <c r="C16" s="143">
        <f>SUM(D16:M16)</f>
        <v>109040</v>
      </c>
      <c r="D16" s="143">
        <v>83732</v>
      </c>
      <c r="E16" s="143">
        <v>0</v>
      </c>
      <c r="F16" s="143">
        <v>20</v>
      </c>
      <c r="G16" s="143">
        <v>604</v>
      </c>
      <c r="H16" s="143">
        <v>288</v>
      </c>
      <c r="I16" s="143">
        <v>0</v>
      </c>
      <c r="J16" s="143">
        <v>24395</v>
      </c>
      <c r="K16" s="143">
        <v>0</v>
      </c>
      <c r="L16" s="143">
        <v>1</v>
      </c>
      <c r="M16" s="144">
        <v>0</v>
      </c>
    </row>
    <row r="17" spans="1:13" s="52" customFormat="1" ht="25.5" customHeight="1" hidden="1">
      <c r="A17" s="382"/>
      <c r="B17" s="140" t="s">
        <v>216</v>
      </c>
      <c r="C17" s="143">
        <v>134098</v>
      </c>
      <c r="D17" s="143">
        <v>83732</v>
      </c>
      <c r="E17" s="143">
        <v>0</v>
      </c>
      <c r="F17" s="143">
        <v>20</v>
      </c>
      <c r="G17" s="143">
        <v>604</v>
      </c>
      <c r="H17" s="143">
        <v>288</v>
      </c>
      <c r="I17" s="143">
        <v>0</v>
      </c>
      <c r="J17" s="143">
        <v>49353</v>
      </c>
      <c r="K17" s="143">
        <v>0</v>
      </c>
      <c r="L17" s="143">
        <v>1</v>
      </c>
      <c r="M17" s="143">
        <v>0</v>
      </c>
    </row>
    <row r="18" spans="1:13" s="51" customFormat="1" ht="25.5" customHeight="1" hidden="1">
      <c r="A18" s="332" t="s">
        <v>223</v>
      </c>
      <c r="B18" s="140" t="s">
        <v>215</v>
      </c>
      <c r="C18" s="143">
        <f>SUM(D18:M18)</f>
        <v>102842</v>
      </c>
      <c r="D18" s="143">
        <v>84813</v>
      </c>
      <c r="E18" s="143">
        <v>0</v>
      </c>
      <c r="F18" s="143">
        <v>20</v>
      </c>
      <c r="G18" s="143">
        <v>716</v>
      </c>
      <c r="H18" s="143">
        <v>288</v>
      </c>
      <c r="I18" s="143">
        <v>0</v>
      </c>
      <c r="J18" s="143">
        <v>17004</v>
      </c>
      <c r="K18" s="143">
        <v>0</v>
      </c>
      <c r="L18" s="143">
        <v>1</v>
      </c>
      <c r="M18" s="144">
        <v>0</v>
      </c>
    </row>
    <row r="19" spans="1:13" s="52" customFormat="1" ht="25.5" customHeight="1" hidden="1">
      <c r="A19" s="382"/>
      <c r="B19" s="140" t="s">
        <v>216</v>
      </c>
      <c r="C19" s="143">
        <v>134098</v>
      </c>
      <c r="D19" s="143">
        <v>84813</v>
      </c>
      <c r="E19" s="143">
        <v>0</v>
      </c>
      <c r="F19" s="143">
        <v>20</v>
      </c>
      <c r="G19" s="143">
        <v>716</v>
      </c>
      <c r="H19" s="143">
        <v>288</v>
      </c>
      <c r="I19" s="143">
        <v>0</v>
      </c>
      <c r="J19" s="143">
        <v>95871</v>
      </c>
      <c r="K19" s="143">
        <v>0</v>
      </c>
      <c r="L19" s="143">
        <v>1</v>
      </c>
      <c r="M19" s="143">
        <v>0</v>
      </c>
    </row>
    <row r="20" spans="1:13" s="51" customFormat="1" ht="25.5" customHeight="1" hidden="1">
      <c r="A20" s="369" t="s">
        <v>224</v>
      </c>
      <c r="B20" s="140" t="s">
        <v>215</v>
      </c>
      <c r="C20" s="143">
        <f>SUM(D20:M20)</f>
        <v>99574</v>
      </c>
      <c r="D20" s="143">
        <v>75816</v>
      </c>
      <c r="E20" s="143">
        <v>0</v>
      </c>
      <c r="F20" s="143">
        <v>120</v>
      </c>
      <c r="G20" s="143">
        <v>796</v>
      </c>
      <c r="H20" s="143">
        <v>5744</v>
      </c>
      <c r="I20" s="143">
        <v>0</v>
      </c>
      <c r="J20" s="143">
        <v>17097</v>
      </c>
      <c r="K20" s="143">
        <v>0</v>
      </c>
      <c r="L20" s="143">
        <v>1</v>
      </c>
      <c r="M20" s="144">
        <v>0</v>
      </c>
    </row>
    <row r="21" spans="1:13" s="52" customFormat="1" ht="25.5" customHeight="1" hidden="1">
      <c r="A21" s="370"/>
      <c r="B21" s="140" t="s">
        <v>216</v>
      </c>
      <c r="C21" s="143">
        <v>134098</v>
      </c>
      <c r="D21" s="143">
        <v>76489</v>
      </c>
      <c r="E21" s="143">
        <v>0</v>
      </c>
      <c r="F21" s="143">
        <v>120</v>
      </c>
      <c r="G21" s="143">
        <v>796</v>
      </c>
      <c r="H21" s="143">
        <v>8061</v>
      </c>
      <c r="I21" s="143">
        <v>0</v>
      </c>
      <c r="J21" s="143">
        <v>121788</v>
      </c>
      <c r="K21" s="143">
        <v>0</v>
      </c>
      <c r="L21" s="143">
        <v>1</v>
      </c>
      <c r="M21" s="143">
        <v>0</v>
      </c>
    </row>
    <row r="22" spans="1:13" s="52" customFormat="1" ht="24" customHeight="1">
      <c r="A22" s="383" t="s">
        <v>225</v>
      </c>
      <c r="B22" s="189" t="s">
        <v>215</v>
      </c>
      <c r="C22" s="190">
        <f aca="true" t="shared" si="1" ref="C22:C33">SUM(D22:M22)</f>
        <v>136342</v>
      </c>
      <c r="D22" s="191">
        <v>87481</v>
      </c>
      <c r="E22" s="191">
        <v>0</v>
      </c>
      <c r="F22" s="191">
        <v>240</v>
      </c>
      <c r="G22" s="191">
        <v>645</v>
      </c>
      <c r="H22" s="191">
        <v>215</v>
      </c>
      <c r="I22" s="191">
        <v>0</v>
      </c>
      <c r="J22" s="191">
        <v>47185</v>
      </c>
      <c r="K22" s="191">
        <v>0</v>
      </c>
      <c r="L22" s="191">
        <v>576</v>
      </c>
      <c r="M22" s="192">
        <v>0</v>
      </c>
    </row>
    <row r="23" spans="1:13" s="52" customFormat="1" ht="21.75" customHeight="1">
      <c r="A23" s="370"/>
      <c r="B23" s="140" t="s">
        <v>216</v>
      </c>
      <c r="C23" s="193">
        <f t="shared" si="1"/>
        <v>230625</v>
      </c>
      <c r="D23" s="143">
        <v>87481</v>
      </c>
      <c r="E23" s="143">
        <v>0</v>
      </c>
      <c r="F23" s="143">
        <v>240</v>
      </c>
      <c r="G23" s="143">
        <v>670</v>
      </c>
      <c r="H23" s="143">
        <v>215</v>
      </c>
      <c r="I23" s="143">
        <v>0</v>
      </c>
      <c r="J23" s="143">
        <v>139893</v>
      </c>
      <c r="K23" s="143">
        <v>0</v>
      </c>
      <c r="L23" s="143">
        <v>2126</v>
      </c>
      <c r="M23" s="194">
        <v>0</v>
      </c>
    </row>
    <row r="24" spans="1:13" s="52" customFormat="1" ht="25.5" customHeight="1">
      <c r="A24" s="369" t="s">
        <v>226</v>
      </c>
      <c r="B24" s="140" t="s">
        <v>215</v>
      </c>
      <c r="C24" s="193">
        <f t="shared" si="1"/>
        <v>137912</v>
      </c>
      <c r="D24" s="143">
        <v>94677</v>
      </c>
      <c r="E24" s="143">
        <v>0</v>
      </c>
      <c r="F24" s="143">
        <v>200</v>
      </c>
      <c r="G24" s="143">
        <v>905</v>
      </c>
      <c r="H24" s="143">
        <v>256</v>
      </c>
      <c r="I24" s="143">
        <v>0</v>
      </c>
      <c r="J24" s="143">
        <v>41779</v>
      </c>
      <c r="K24" s="143">
        <v>0</v>
      </c>
      <c r="L24" s="143">
        <v>95</v>
      </c>
      <c r="M24" s="194">
        <v>0</v>
      </c>
    </row>
    <row r="25" spans="1:13" s="52" customFormat="1" ht="21.75" customHeight="1">
      <c r="A25" s="370"/>
      <c r="B25" s="140" t="s">
        <v>216</v>
      </c>
      <c r="C25" s="193">
        <f t="shared" si="1"/>
        <v>160048</v>
      </c>
      <c r="D25" s="143">
        <v>94677</v>
      </c>
      <c r="E25" s="143">
        <v>0</v>
      </c>
      <c r="F25" s="143">
        <v>200</v>
      </c>
      <c r="G25" s="143">
        <v>905</v>
      </c>
      <c r="H25" s="143">
        <v>256</v>
      </c>
      <c r="I25" s="143">
        <v>0</v>
      </c>
      <c r="J25" s="143">
        <v>63915</v>
      </c>
      <c r="K25" s="143">
        <v>0</v>
      </c>
      <c r="L25" s="143">
        <v>95</v>
      </c>
      <c r="M25" s="194">
        <v>0</v>
      </c>
    </row>
    <row r="26" spans="1:13" s="52" customFormat="1" ht="26.25" customHeight="1">
      <c r="A26" s="369" t="s">
        <v>259</v>
      </c>
      <c r="B26" s="140" t="s">
        <v>215</v>
      </c>
      <c r="C26" s="193">
        <f t="shared" si="1"/>
        <v>150001</v>
      </c>
      <c r="D26" s="143">
        <v>98671</v>
      </c>
      <c r="E26" s="143">
        <v>0</v>
      </c>
      <c r="F26" s="143">
        <v>400</v>
      </c>
      <c r="G26" s="143">
        <v>495</v>
      </c>
      <c r="H26" s="143">
        <v>270</v>
      </c>
      <c r="I26" s="143">
        <v>0</v>
      </c>
      <c r="J26" s="143">
        <v>50090</v>
      </c>
      <c r="K26" s="143">
        <v>0</v>
      </c>
      <c r="L26" s="143">
        <v>75</v>
      </c>
      <c r="M26" s="194">
        <v>0</v>
      </c>
    </row>
    <row r="27" spans="1:13" s="52" customFormat="1" ht="23.25" customHeight="1">
      <c r="A27" s="370"/>
      <c r="B27" s="140" t="s">
        <v>216</v>
      </c>
      <c r="C27" s="193">
        <f t="shared" si="1"/>
        <v>251647</v>
      </c>
      <c r="D27" s="143">
        <v>98727</v>
      </c>
      <c r="E27" s="143">
        <v>0</v>
      </c>
      <c r="F27" s="143">
        <v>400</v>
      </c>
      <c r="G27" s="143">
        <v>495</v>
      </c>
      <c r="H27" s="143">
        <v>270</v>
      </c>
      <c r="I27" s="143">
        <v>0</v>
      </c>
      <c r="J27" s="143">
        <v>151680</v>
      </c>
      <c r="K27" s="143">
        <v>0</v>
      </c>
      <c r="L27" s="143">
        <v>75</v>
      </c>
      <c r="M27" s="194">
        <v>0</v>
      </c>
    </row>
    <row r="28" spans="1:13" s="52" customFormat="1" ht="23.25" customHeight="1">
      <c r="A28" s="369" t="s">
        <v>319</v>
      </c>
      <c r="B28" s="140" t="s">
        <v>215</v>
      </c>
      <c r="C28" s="193">
        <f t="shared" si="1"/>
        <v>145028</v>
      </c>
      <c r="D28" s="143">
        <v>99036</v>
      </c>
      <c r="E28" s="143">
        <v>0</v>
      </c>
      <c r="F28" s="143">
        <v>400</v>
      </c>
      <c r="G28" s="143">
        <v>559</v>
      </c>
      <c r="H28" s="143">
        <v>186</v>
      </c>
      <c r="I28" s="143">
        <v>0</v>
      </c>
      <c r="J28" s="143">
        <v>44713</v>
      </c>
      <c r="K28" s="143">
        <v>0</v>
      </c>
      <c r="L28" s="143">
        <v>134</v>
      </c>
      <c r="M28" s="194">
        <v>0</v>
      </c>
    </row>
    <row r="29" spans="1:13" s="52" customFormat="1" ht="23.25" customHeight="1">
      <c r="A29" s="370"/>
      <c r="B29" s="140" t="s">
        <v>216</v>
      </c>
      <c r="C29" s="193">
        <f t="shared" si="1"/>
        <v>187655</v>
      </c>
      <c r="D29" s="143">
        <v>99036</v>
      </c>
      <c r="E29" s="143">
        <v>0</v>
      </c>
      <c r="F29" s="143">
        <v>400</v>
      </c>
      <c r="G29" s="143">
        <v>559</v>
      </c>
      <c r="H29" s="143">
        <v>186</v>
      </c>
      <c r="I29" s="143">
        <v>0</v>
      </c>
      <c r="J29" s="143">
        <v>87340</v>
      </c>
      <c r="K29" s="143">
        <v>0</v>
      </c>
      <c r="L29" s="143">
        <v>134</v>
      </c>
      <c r="M29" s="194">
        <v>0</v>
      </c>
    </row>
    <row r="30" spans="1:13" s="52" customFormat="1" ht="23.25" customHeight="1">
      <c r="A30" s="369" t="s">
        <v>327</v>
      </c>
      <c r="B30" s="140" t="s">
        <v>215</v>
      </c>
      <c r="C30" s="193">
        <f t="shared" si="1"/>
        <v>144626</v>
      </c>
      <c r="D30" s="143">
        <v>101064</v>
      </c>
      <c r="E30" s="143">
        <v>0</v>
      </c>
      <c r="F30" s="143">
        <v>400</v>
      </c>
      <c r="G30" s="143">
        <v>509</v>
      </c>
      <c r="H30" s="143">
        <v>186</v>
      </c>
      <c r="I30" s="143">
        <v>0</v>
      </c>
      <c r="J30" s="143">
        <v>42283</v>
      </c>
      <c r="K30" s="143">
        <v>0</v>
      </c>
      <c r="L30" s="143">
        <v>184</v>
      </c>
      <c r="M30" s="194">
        <v>0</v>
      </c>
    </row>
    <row r="31" spans="1:13" s="52" customFormat="1" ht="23.25" customHeight="1">
      <c r="A31" s="370"/>
      <c r="B31" s="140" t="s">
        <v>216</v>
      </c>
      <c r="C31" s="193">
        <f t="shared" si="1"/>
        <v>177336</v>
      </c>
      <c r="D31" s="143">
        <v>101192</v>
      </c>
      <c r="E31" s="143">
        <v>0</v>
      </c>
      <c r="F31" s="143">
        <v>400</v>
      </c>
      <c r="G31" s="143">
        <v>509</v>
      </c>
      <c r="H31" s="143">
        <v>186</v>
      </c>
      <c r="I31" s="143">
        <v>0</v>
      </c>
      <c r="J31" s="143">
        <v>74865</v>
      </c>
      <c r="K31" s="143">
        <v>0</v>
      </c>
      <c r="L31" s="143">
        <v>184</v>
      </c>
      <c r="M31" s="194">
        <v>0</v>
      </c>
    </row>
    <row r="32" spans="1:13" s="52" customFormat="1" ht="23.25" customHeight="1">
      <c r="A32" s="369" t="s">
        <v>336</v>
      </c>
      <c r="B32" s="140" t="s">
        <v>215</v>
      </c>
      <c r="C32" s="193">
        <f t="shared" si="1"/>
        <v>153204</v>
      </c>
      <c r="D32" s="143">
        <v>105047</v>
      </c>
      <c r="E32" s="143">
        <v>0</v>
      </c>
      <c r="F32" s="143">
        <v>450</v>
      </c>
      <c r="G32" s="143">
        <v>590</v>
      </c>
      <c r="H32" s="143">
        <v>278</v>
      </c>
      <c r="I32" s="143">
        <v>0</v>
      </c>
      <c r="J32" s="143">
        <v>46719</v>
      </c>
      <c r="K32" s="143">
        <v>0</v>
      </c>
      <c r="L32" s="143">
        <v>120</v>
      </c>
      <c r="M32" s="194">
        <v>0</v>
      </c>
    </row>
    <row r="33" spans="1:13" s="52" customFormat="1" ht="23.25" customHeight="1">
      <c r="A33" s="370"/>
      <c r="B33" s="140" t="s">
        <v>216</v>
      </c>
      <c r="C33" s="193">
        <f t="shared" si="1"/>
        <v>193739</v>
      </c>
      <c r="D33" s="143">
        <v>105047</v>
      </c>
      <c r="E33" s="143">
        <v>0</v>
      </c>
      <c r="F33" s="143">
        <v>450</v>
      </c>
      <c r="G33" s="143">
        <v>590</v>
      </c>
      <c r="H33" s="143">
        <v>278</v>
      </c>
      <c r="I33" s="143">
        <v>0</v>
      </c>
      <c r="J33" s="143">
        <v>86941</v>
      </c>
      <c r="K33" s="143">
        <v>0</v>
      </c>
      <c r="L33" s="143">
        <v>433</v>
      </c>
      <c r="M33" s="194">
        <v>0</v>
      </c>
    </row>
    <row r="34" spans="1:13" s="52" customFormat="1" ht="23.25" customHeight="1">
      <c r="A34" s="369" t="s">
        <v>347</v>
      </c>
      <c r="B34" s="140" t="s">
        <v>215</v>
      </c>
      <c r="C34" s="193">
        <f aca="true" t="shared" si="2" ref="C34:C39">SUM(D34:M34)</f>
        <v>148624</v>
      </c>
      <c r="D34" s="143">
        <v>108470</v>
      </c>
      <c r="E34" s="143">
        <v>0</v>
      </c>
      <c r="F34" s="143">
        <v>450</v>
      </c>
      <c r="G34" s="143">
        <v>590</v>
      </c>
      <c r="H34" s="143">
        <v>278</v>
      </c>
      <c r="I34" s="143">
        <v>0</v>
      </c>
      <c r="J34" s="143">
        <v>38716</v>
      </c>
      <c r="K34" s="143">
        <v>0</v>
      </c>
      <c r="L34" s="143">
        <v>120</v>
      </c>
      <c r="M34" s="194">
        <v>0</v>
      </c>
    </row>
    <row r="35" spans="1:13" s="52" customFormat="1" ht="23.25" customHeight="1">
      <c r="A35" s="370"/>
      <c r="B35" s="140" t="s">
        <v>216</v>
      </c>
      <c r="C35" s="193">
        <f t="shared" si="2"/>
        <v>281713</v>
      </c>
      <c r="D35" s="143">
        <v>108726</v>
      </c>
      <c r="E35" s="143">
        <v>0</v>
      </c>
      <c r="F35" s="143">
        <v>450</v>
      </c>
      <c r="G35" s="143">
        <v>590</v>
      </c>
      <c r="H35" s="143">
        <v>278</v>
      </c>
      <c r="I35" s="143">
        <v>0</v>
      </c>
      <c r="J35" s="143">
        <v>171549</v>
      </c>
      <c r="K35" s="143">
        <v>0</v>
      </c>
      <c r="L35" s="143">
        <v>120</v>
      </c>
      <c r="M35" s="194">
        <v>0</v>
      </c>
    </row>
    <row r="36" spans="1:13" s="52" customFormat="1" ht="23.25" customHeight="1">
      <c r="A36" s="369" t="s">
        <v>353</v>
      </c>
      <c r="B36" s="140" t="s">
        <v>215</v>
      </c>
      <c r="C36" s="193">
        <f t="shared" si="2"/>
        <v>149865</v>
      </c>
      <c r="D36" s="143">
        <v>119098</v>
      </c>
      <c r="E36" s="143">
        <v>0</v>
      </c>
      <c r="F36" s="143">
        <v>450</v>
      </c>
      <c r="G36" s="143">
        <v>430</v>
      </c>
      <c r="H36" s="143">
        <v>638</v>
      </c>
      <c r="I36" s="143">
        <v>0</v>
      </c>
      <c r="J36" s="143">
        <v>28591</v>
      </c>
      <c r="K36" s="143">
        <v>0</v>
      </c>
      <c r="L36" s="143">
        <v>658</v>
      </c>
      <c r="M36" s="194">
        <v>0</v>
      </c>
    </row>
    <row r="37" spans="1:13" s="52" customFormat="1" ht="23.25" customHeight="1">
      <c r="A37" s="370"/>
      <c r="B37" s="140" t="s">
        <v>216</v>
      </c>
      <c r="C37" s="193">
        <f t="shared" si="2"/>
        <v>255003</v>
      </c>
      <c r="D37" s="143">
        <v>119098</v>
      </c>
      <c r="E37" s="143">
        <v>0</v>
      </c>
      <c r="F37" s="143">
        <v>450</v>
      </c>
      <c r="G37" s="143">
        <v>430</v>
      </c>
      <c r="H37" s="143">
        <v>638</v>
      </c>
      <c r="I37" s="143">
        <v>0</v>
      </c>
      <c r="J37" s="143">
        <v>133729</v>
      </c>
      <c r="K37" s="143">
        <v>0</v>
      </c>
      <c r="L37" s="143">
        <v>658</v>
      </c>
      <c r="M37" s="194">
        <v>0</v>
      </c>
    </row>
    <row r="38" spans="1:13" s="52" customFormat="1" ht="23.25" customHeight="1">
      <c r="A38" s="369" t="s">
        <v>367</v>
      </c>
      <c r="B38" s="140" t="s">
        <v>215</v>
      </c>
      <c r="C38" s="193">
        <f t="shared" si="2"/>
        <v>160700</v>
      </c>
      <c r="D38" s="143">
        <v>129861</v>
      </c>
      <c r="E38" s="143">
        <v>0</v>
      </c>
      <c r="F38" s="143">
        <v>450</v>
      </c>
      <c r="G38" s="143">
        <v>430</v>
      </c>
      <c r="H38" s="143">
        <v>638</v>
      </c>
      <c r="I38" s="143">
        <v>0</v>
      </c>
      <c r="J38" s="143">
        <v>28608</v>
      </c>
      <c r="K38" s="143">
        <v>0</v>
      </c>
      <c r="L38" s="143">
        <v>713</v>
      </c>
      <c r="M38" s="194">
        <v>0</v>
      </c>
    </row>
    <row r="39" spans="1:13" s="52" customFormat="1" ht="23.25" customHeight="1">
      <c r="A39" s="384"/>
      <c r="B39" s="255" t="s">
        <v>216</v>
      </c>
      <c r="C39" s="254">
        <f t="shared" si="2"/>
        <v>329546</v>
      </c>
      <c r="D39" s="151">
        <v>129861</v>
      </c>
      <c r="E39" s="151">
        <v>0</v>
      </c>
      <c r="F39" s="151">
        <v>450</v>
      </c>
      <c r="G39" s="151">
        <v>2414</v>
      </c>
      <c r="H39" s="151">
        <v>638</v>
      </c>
      <c r="I39" s="151">
        <v>0</v>
      </c>
      <c r="J39" s="151">
        <v>195470</v>
      </c>
      <c r="K39" s="151">
        <v>0</v>
      </c>
      <c r="L39" s="151">
        <v>713</v>
      </c>
      <c r="M39" s="195">
        <v>0</v>
      </c>
    </row>
    <row r="40" spans="1:13" ht="15" customHeight="1">
      <c r="A40" s="378" t="s">
        <v>35</v>
      </c>
      <c r="B40" s="379"/>
      <c r="C40" s="379"/>
      <c r="D40" s="379"/>
      <c r="E40" s="93"/>
      <c r="F40" s="79"/>
      <c r="G40" s="79"/>
      <c r="H40" s="79"/>
      <c r="I40" s="79"/>
      <c r="J40" s="79"/>
      <c r="K40" s="79"/>
      <c r="L40" s="79"/>
      <c r="M40" s="79"/>
    </row>
    <row r="41" spans="1:4" ht="15" customHeight="1">
      <c r="A41" s="376" t="s">
        <v>152</v>
      </c>
      <c r="B41" s="377"/>
      <c r="C41" s="94"/>
      <c r="D41" s="94"/>
    </row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</sheetData>
  <sheetProtection/>
  <mergeCells count="28">
    <mergeCell ref="A38:A39"/>
    <mergeCell ref="A36:A37"/>
    <mergeCell ref="A34:A35"/>
    <mergeCell ref="L4:M4"/>
    <mergeCell ref="A2:G2"/>
    <mergeCell ref="H2:M2"/>
    <mergeCell ref="A3:G3"/>
    <mergeCell ref="H3:M3"/>
    <mergeCell ref="A24:A25"/>
    <mergeCell ref="A14:A15"/>
    <mergeCell ref="A32:A33"/>
    <mergeCell ref="A30:A31"/>
    <mergeCell ref="A41:B41"/>
    <mergeCell ref="A40:D40"/>
    <mergeCell ref="A5:B5"/>
    <mergeCell ref="A18:A19"/>
    <mergeCell ref="A6:A7"/>
    <mergeCell ref="A20:A21"/>
    <mergeCell ref="A16:A17"/>
    <mergeCell ref="A22:A23"/>
    <mergeCell ref="A26:A27"/>
    <mergeCell ref="A28:A29"/>
    <mergeCell ref="H1:I1"/>
    <mergeCell ref="A12:A13"/>
    <mergeCell ref="A4:B4"/>
    <mergeCell ref="A8:A9"/>
    <mergeCell ref="A10:A11"/>
    <mergeCell ref="F1:G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B24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6" sqref="K26"/>
    </sheetView>
  </sheetViews>
  <sheetFormatPr defaultColWidth="9.00390625" defaultRowHeight="16.5"/>
  <cols>
    <col min="1" max="1" width="12.875" style="1" customWidth="1"/>
    <col min="2" max="6" width="14.25390625" style="1" customWidth="1"/>
    <col min="7" max="7" width="14.375" style="1" customWidth="1"/>
    <col min="8" max="8" width="15.75390625" style="1" customWidth="1"/>
    <col min="9" max="12" width="14.50390625" style="1" customWidth="1"/>
    <col min="13" max="131" width="9.00390625" style="1" customWidth="1"/>
    <col min="132" max="132" width="9.00390625" style="9" customWidth="1"/>
    <col min="133" max="16384" width="9.00390625" style="1" customWidth="1"/>
  </cols>
  <sheetData>
    <row r="1" spans="6:12" s="119" customFormat="1" ht="16.5" customHeight="1">
      <c r="F1" s="121" t="s">
        <v>308</v>
      </c>
      <c r="G1" s="120" t="s">
        <v>241</v>
      </c>
      <c r="L1" s="121"/>
    </row>
    <row r="2" spans="1:132" ht="24" customHeight="1">
      <c r="A2" s="385" t="s">
        <v>12</v>
      </c>
      <c r="B2" s="392"/>
      <c r="C2" s="392"/>
      <c r="D2" s="392"/>
      <c r="E2" s="392"/>
      <c r="F2" s="392"/>
      <c r="G2" s="393" t="s">
        <v>101</v>
      </c>
      <c r="H2" s="394"/>
      <c r="I2" s="394"/>
      <c r="J2" s="394"/>
      <c r="K2" s="394"/>
      <c r="L2" s="39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EB2" s="20"/>
    </row>
    <row r="3" spans="1:132" ht="21" customHeight="1">
      <c r="A3" s="388" t="s">
        <v>26</v>
      </c>
      <c r="B3" s="395"/>
      <c r="C3" s="395"/>
      <c r="D3" s="395"/>
      <c r="E3" s="395"/>
      <c r="F3" s="395"/>
      <c r="G3" s="396" t="s">
        <v>27</v>
      </c>
      <c r="H3" s="397"/>
      <c r="I3" s="397"/>
      <c r="J3" s="397"/>
      <c r="K3" s="397"/>
      <c r="L3" s="39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EB3" s="20"/>
    </row>
    <row r="4" spans="1:132" ht="17.25" customHeight="1">
      <c r="A4" s="343" t="s">
        <v>7</v>
      </c>
      <c r="B4" s="344"/>
      <c r="C4" s="10"/>
      <c r="D4" s="10"/>
      <c r="E4" s="9"/>
      <c r="F4" s="9"/>
      <c r="G4" s="38"/>
      <c r="H4" s="10"/>
      <c r="I4" s="10"/>
      <c r="J4" s="37" t="s">
        <v>2</v>
      </c>
      <c r="K4" s="347" t="s">
        <v>83</v>
      </c>
      <c r="L4" s="34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EB4" s="20"/>
    </row>
    <row r="5" spans="1:12" s="2" customFormat="1" ht="51" customHeight="1">
      <c r="A5" s="259" t="s">
        <v>295</v>
      </c>
      <c r="B5" s="156" t="s">
        <v>37</v>
      </c>
      <c r="C5" s="152" t="s">
        <v>82</v>
      </c>
      <c r="D5" s="152" t="s">
        <v>28</v>
      </c>
      <c r="E5" s="152" t="s">
        <v>29</v>
      </c>
      <c r="F5" s="160" t="s">
        <v>30</v>
      </c>
      <c r="G5" s="158" t="s">
        <v>296</v>
      </c>
      <c r="H5" s="158" t="s">
        <v>31</v>
      </c>
      <c r="I5" s="160" t="s">
        <v>23</v>
      </c>
      <c r="J5" s="159" t="s">
        <v>32</v>
      </c>
      <c r="K5" s="187" t="s">
        <v>33</v>
      </c>
      <c r="L5" s="160" t="s">
        <v>34</v>
      </c>
    </row>
    <row r="6" spans="1:30" ht="45" customHeight="1">
      <c r="A6" s="269" t="s">
        <v>77</v>
      </c>
      <c r="B6" s="196">
        <f aca="true" t="shared" si="0" ref="B6:B14">SUM(C6:L6)</f>
        <v>142772</v>
      </c>
      <c r="C6" s="197">
        <v>60154</v>
      </c>
      <c r="D6" s="197">
        <v>0</v>
      </c>
      <c r="E6" s="197">
        <v>0</v>
      </c>
      <c r="F6" s="197">
        <v>422</v>
      </c>
      <c r="G6" s="197">
        <v>157</v>
      </c>
      <c r="H6" s="197">
        <v>0</v>
      </c>
      <c r="I6" s="197">
        <v>81646</v>
      </c>
      <c r="J6" s="197">
        <v>0</v>
      </c>
      <c r="K6" s="197">
        <v>0</v>
      </c>
      <c r="L6" s="198">
        <v>393</v>
      </c>
      <c r="M6" s="3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9"/>
      <c r="Z6" s="9"/>
      <c r="AA6" s="9"/>
      <c r="AB6" s="9"/>
      <c r="AC6" s="9"/>
      <c r="AD6" s="9"/>
    </row>
    <row r="7" spans="1:30" ht="45" customHeight="1">
      <c r="A7" s="288" t="s">
        <v>78</v>
      </c>
      <c r="B7" s="199">
        <f t="shared" si="0"/>
        <v>139864</v>
      </c>
      <c r="C7" s="33">
        <v>74238</v>
      </c>
      <c r="D7" s="33">
        <v>0</v>
      </c>
      <c r="E7" s="33">
        <v>241</v>
      </c>
      <c r="F7" s="33">
        <v>432</v>
      </c>
      <c r="G7" s="33">
        <v>173</v>
      </c>
      <c r="H7" s="33">
        <v>0</v>
      </c>
      <c r="I7" s="33">
        <v>64439</v>
      </c>
      <c r="J7" s="33">
        <v>0</v>
      </c>
      <c r="K7" s="33">
        <v>0</v>
      </c>
      <c r="L7" s="200">
        <v>341</v>
      </c>
      <c r="M7" s="3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  <c r="Z7" s="9"/>
      <c r="AA7" s="9"/>
      <c r="AB7" s="9"/>
      <c r="AC7" s="9"/>
      <c r="AD7" s="9"/>
    </row>
    <row r="8" spans="1:30" ht="45" customHeight="1">
      <c r="A8" s="288" t="s">
        <v>79</v>
      </c>
      <c r="B8" s="199">
        <f t="shared" si="0"/>
        <v>127589</v>
      </c>
      <c r="C8" s="33">
        <v>87683</v>
      </c>
      <c r="D8" s="33">
        <v>0</v>
      </c>
      <c r="E8" s="33">
        <v>163</v>
      </c>
      <c r="F8" s="33">
        <v>466</v>
      </c>
      <c r="G8" s="33">
        <v>185</v>
      </c>
      <c r="H8" s="33">
        <v>0</v>
      </c>
      <c r="I8" s="33">
        <v>38459</v>
      </c>
      <c r="J8" s="33">
        <v>0</v>
      </c>
      <c r="K8" s="33">
        <v>0</v>
      </c>
      <c r="L8" s="200">
        <v>633</v>
      </c>
      <c r="M8" s="34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12" ht="45" customHeight="1">
      <c r="A9" s="288" t="s">
        <v>80</v>
      </c>
      <c r="B9" s="201">
        <f t="shared" si="0"/>
        <v>128068</v>
      </c>
      <c r="C9" s="36">
        <v>77489</v>
      </c>
      <c r="D9" s="36">
        <v>0</v>
      </c>
      <c r="E9" s="36">
        <v>277</v>
      </c>
      <c r="F9" s="36">
        <v>411</v>
      </c>
      <c r="G9" s="36">
        <v>381</v>
      </c>
      <c r="H9" s="36">
        <v>0</v>
      </c>
      <c r="I9" s="36">
        <v>48606</v>
      </c>
      <c r="J9" s="36">
        <v>40</v>
      </c>
      <c r="K9" s="36">
        <v>0</v>
      </c>
      <c r="L9" s="202">
        <v>864</v>
      </c>
    </row>
    <row r="10" spans="1:132" s="49" customFormat="1" ht="45" customHeight="1">
      <c r="A10" s="227" t="s">
        <v>81</v>
      </c>
      <c r="B10" s="201">
        <f t="shared" si="0"/>
        <v>125972</v>
      </c>
      <c r="C10" s="36">
        <v>98768</v>
      </c>
      <c r="D10" s="36">
        <v>0</v>
      </c>
      <c r="E10" s="36">
        <v>261</v>
      </c>
      <c r="F10" s="36">
        <v>417</v>
      </c>
      <c r="G10" s="36">
        <v>515</v>
      </c>
      <c r="H10" s="36">
        <v>0</v>
      </c>
      <c r="I10" s="36">
        <v>24985</v>
      </c>
      <c r="J10" s="36">
        <v>4</v>
      </c>
      <c r="K10" s="36">
        <v>0</v>
      </c>
      <c r="L10" s="202">
        <v>1022</v>
      </c>
      <c r="EB10" s="48"/>
    </row>
    <row r="11" spans="1:132" s="49" customFormat="1" ht="45" customHeight="1">
      <c r="A11" s="227" t="s">
        <v>103</v>
      </c>
      <c r="B11" s="201">
        <f t="shared" si="0"/>
        <v>132920</v>
      </c>
      <c r="C11" s="36">
        <v>86486</v>
      </c>
      <c r="D11" s="36">
        <v>0</v>
      </c>
      <c r="E11" s="36">
        <v>68</v>
      </c>
      <c r="F11" s="36">
        <v>609</v>
      </c>
      <c r="G11" s="36">
        <v>453</v>
      </c>
      <c r="H11" s="36">
        <v>0</v>
      </c>
      <c r="I11" s="36">
        <v>44901</v>
      </c>
      <c r="J11" s="36">
        <v>21</v>
      </c>
      <c r="K11" s="36">
        <v>0</v>
      </c>
      <c r="L11" s="202">
        <v>382</v>
      </c>
      <c r="EB11" s="48"/>
    </row>
    <row r="12" spans="1:132" s="49" customFormat="1" ht="45" customHeight="1">
      <c r="A12" s="227" t="s">
        <v>165</v>
      </c>
      <c r="B12" s="201">
        <f t="shared" si="0"/>
        <v>128436</v>
      </c>
      <c r="C12" s="36">
        <v>67347</v>
      </c>
      <c r="D12" s="36"/>
      <c r="E12" s="36">
        <v>143</v>
      </c>
      <c r="F12" s="36">
        <v>786</v>
      </c>
      <c r="G12" s="36">
        <v>284</v>
      </c>
      <c r="H12" s="36">
        <v>0</v>
      </c>
      <c r="I12" s="36">
        <v>59487</v>
      </c>
      <c r="J12" s="36">
        <v>0</v>
      </c>
      <c r="K12" s="36">
        <v>0</v>
      </c>
      <c r="L12" s="202">
        <v>389</v>
      </c>
      <c r="M12" s="54"/>
      <c r="EB12" s="48"/>
    </row>
    <row r="13" spans="1:132" s="54" customFormat="1" ht="45" customHeight="1">
      <c r="A13" s="227" t="s">
        <v>171</v>
      </c>
      <c r="B13" s="201">
        <f t="shared" si="0"/>
        <v>177081</v>
      </c>
      <c r="C13" s="36">
        <v>75145</v>
      </c>
      <c r="D13" s="36"/>
      <c r="E13" s="36">
        <v>153</v>
      </c>
      <c r="F13" s="36">
        <v>918</v>
      </c>
      <c r="G13" s="36">
        <v>7930</v>
      </c>
      <c r="H13" s="36">
        <v>0</v>
      </c>
      <c r="I13" s="36">
        <v>91221</v>
      </c>
      <c r="J13" s="36">
        <v>0</v>
      </c>
      <c r="K13" s="36">
        <v>0</v>
      </c>
      <c r="L13" s="202">
        <v>1714</v>
      </c>
      <c r="EB13" s="53"/>
    </row>
    <row r="14" spans="1:132" s="54" customFormat="1" ht="45" customHeight="1">
      <c r="A14" s="227" t="s">
        <v>175</v>
      </c>
      <c r="B14" s="201">
        <f t="shared" si="0"/>
        <v>221587</v>
      </c>
      <c r="C14" s="36">
        <v>90293</v>
      </c>
      <c r="D14" s="36">
        <v>0</v>
      </c>
      <c r="E14" s="36">
        <v>97</v>
      </c>
      <c r="F14" s="36">
        <v>1205</v>
      </c>
      <c r="G14" s="36">
        <v>547</v>
      </c>
      <c r="H14" s="36">
        <v>0</v>
      </c>
      <c r="I14" s="36">
        <v>127297</v>
      </c>
      <c r="J14" s="36">
        <v>5</v>
      </c>
      <c r="K14" s="36">
        <v>0</v>
      </c>
      <c r="L14" s="202">
        <v>2143</v>
      </c>
      <c r="EB14" s="53"/>
    </row>
    <row r="15" spans="1:132" s="54" customFormat="1" ht="45" customHeight="1">
      <c r="A15" s="227" t="s">
        <v>179</v>
      </c>
      <c r="B15" s="201">
        <f aca="true" t="shared" si="1" ref="B15:B21">SUM(C15:L15)</f>
        <v>158052</v>
      </c>
      <c r="C15" s="36">
        <v>100430</v>
      </c>
      <c r="D15" s="36">
        <v>0</v>
      </c>
      <c r="E15" s="36">
        <v>739</v>
      </c>
      <c r="F15" s="36">
        <v>705</v>
      </c>
      <c r="G15" s="36">
        <v>264</v>
      </c>
      <c r="H15" s="36">
        <v>0</v>
      </c>
      <c r="I15" s="36">
        <v>53324</v>
      </c>
      <c r="J15" s="36">
        <v>0</v>
      </c>
      <c r="K15" s="36">
        <v>0</v>
      </c>
      <c r="L15" s="202">
        <v>2590</v>
      </c>
      <c r="EB15" s="53"/>
    </row>
    <row r="16" spans="1:132" s="54" customFormat="1" ht="45" customHeight="1">
      <c r="A16" s="227" t="s">
        <v>260</v>
      </c>
      <c r="B16" s="201">
        <f t="shared" si="1"/>
        <v>241298</v>
      </c>
      <c r="C16" s="36">
        <v>109174</v>
      </c>
      <c r="D16" s="36">
        <v>0</v>
      </c>
      <c r="E16" s="36">
        <v>156</v>
      </c>
      <c r="F16" s="36">
        <v>717</v>
      </c>
      <c r="G16" s="36">
        <v>259</v>
      </c>
      <c r="H16" s="36">
        <v>0</v>
      </c>
      <c r="I16" s="36">
        <v>130222</v>
      </c>
      <c r="J16" s="36">
        <v>0</v>
      </c>
      <c r="K16" s="36">
        <v>0</v>
      </c>
      <c r="L16" s="202">
        <v>770</v>
      </c>
      <c r="EB16" s="53"/>
    </row>
    <row r="17" spans="1:132" s="54" customFormat="1" ht="45" customHeight="1">
      <c r="A17" s="227" t="s">
        <v>320</v>
      </c>
      <c r="B17" s="201">
        <f t="shared" si="1"/>
        <v>176506</v>
      </c>
      <c r="C17" s="36">
        <v>110927</v>
      </c>
      <c r="D17" s="36">
        <v>0</v>
      </c>
      <c r="E17" s="36">
        <v>300</v>
      </c>
      <c r="F17" s="36">
        <v>704</v>
      </c>
      <c r="G17" s="36">
        <v>253</v>
      </c>
      <c r="H17" s="36">
        <v>0</v>
      </c>
      <c r="I17" s="36">
        <v>63298</v>
      </c>
      <c r="J17" s="36">
        <v>0</v>
      </c>
      <c r="K17" s="36">
        <v>0</v>
      </c>
      <c r="L17" s="202">
        <v>1024</v>
      </c>
      <c r="EB17" s="53"/>
    </row>
    <row r="18" spans="1:132" s="54" customFormat="1" ht="45" customHeight="1">
      <c r="A18" s="227" t="s">
        <v>328</v>
      </c>
      <c r="B18" s="201">
        <f t="shared" si="1"/>
        <v>194532</v>
      </c>
      <c r="C18" s="36">
        <v>100395</v>
      </c>
      <c r="D18" s="36">
        <v>0</v>
      </c>
      <c r="E18" s="36">
        <v>339</v>
      </c>
      <c r="F18" s="36">
        <v>580</v>
      </c>
      <c r="G18" s="36">
        <v>293</v>
      </c>
      <c r="H18" s="36">
        <v>0</v>
      </c>
      <c r="I18" s="36">
        <v>92200</v>
      </c>
      <c r="J18" s="36">
        <v>14</v>
      </c>
      <c r="K18" s="36">
        <v>0</v>
      </c>
      <c r="L18" s="202">
        <v>711</v>
      </c>
      <c r="EB18" s="53"/>
    </row>
    <row r="19" spans="1:132" s="54" customFormat="1" ht="45" customHeight="1">
      <c r="A19" s="227" t="s">
        <v>337</v>
      </c>
      <c r="B19" s="201">
        <f t="shared" si="1"/>
        <v>197968</v>
      </c>
      <c r="C19" s="36">
        <v>111236</v>
      </c>
      <c r="D19" s="36">
        <v>0</v>
      </c>
      <c r="E19" s="36">
        <v>665</v>
      </c>
      <c r="F19" s="36">
        <v>456</v>
      </c>
      <c r="G19" s="36">
        <v>686</v>
      </c>
      <c r="H19" s="36">
        <v>0</v>
      </c>
      <c r="I19" s="36">
        <v>83250</v>
      </c>
      <c r="J19" s="36">
        <v>121</v>
      </c>
      <c r="K19" s="36">
        <v>0</v>
      </c>
      <c r="L19" s="202">
        <v>1554</v>
      </c>
      <c r="EB19" s="53"/>
    </row>
    <row r="20" spans="1:132" s="54" customFormat="1" ht="45" customHeight="1">
      <c r="A20" s="227" t="s">
        <v>348</v>
      </c>
      <c r="B20" s="201">
        <f t="shared" si="1"/>
        <v>274797</v>
      </c>
      <c r="C20" s="36">
        <v>112540</v>
      </c>
      <c r="D20" s="36">
        <v>0</v>
      </c>
      <c r="E20" s="36">
        <v>730</v>
      </c>
      <c r="F20" s="36">
        <v>553</v>
      </c>
      <c r="G20" s="36">
        <v>546</v>
      </c>
      <c r="H20" s="36">
        <v>0</v>
      </c>
      <c r="I20" s="36">
        <v>158613</v>
      </c>
      <c r="J20" s="36">
        <v>0</v>
      </c>
      <c r="K20" s="36">
        <v>0</v>
      </c>
      <c r="L20" s="202">
        <v>1815</v>
      </c>
      <c r="EB20" s="53"/>
    </row>
    <row r="21" spans="1:132" s="54" customFormat="1" ht="45" customHeight="1">
      <c r="A21" s="227" t="s">
        <v>356</v>
      </c>
      <c r="B21" s="201">
        <f t="shared" si="1"/>
        <v>347161</v>
      </c>
      <c r="C21" s="36">
        <v>137033</v>
      </c>
      <c r="D21" s="36">
        <v>0</v>
      </c>
      <c r="E21" s="36">
        <v>1929</v>
      </c>
      <c r="F21" s="36">
        <v>475</v>
      </c>
      <c r="G21" s="36">
        <v>707</v>
      </c>
      <c r="H21" s="36">
        <v>0</v>
      </c>
      <c r="I21" s="36">
        <v>206275</v>
      </c>
      <c r="J21" s="36">
        <v>110</v>
      </c>
      <c r="K21" s="36">
        <v>0</v>
      </c>
      <c r="L21" s="202">
        <v>632</v>
      </c>
      <c r="EB21" s="53"/>
    </row>
    <row r="22" spans="1:132" s="54" customFormat="1" ht="45" customHeight="1">
      <c r="A22" s="289" t="s">
        <v>368</v>
      </c>
      <c r="B22" s="267">
        <f>SUM(C22:L22)</f>
        <v>290573</v>
      </c>
      <c r="C22" s="56">
        <v>136104</v>
      </c>
      <c r="D22" s="56">
        <v>0</v>
      </c>
      <c r="E22" s="56">
        <v>1157</v>
      </c>
      <c r="F22" s="56">
        <v>2664</v>
      </c>
      <c r="G22" s="56">
        <v>803</v>
      </c>
      <c r="H22" s="56">
        <v>0</v>
      </c>
      <c r="I22" s="56">
        <v>147654</v>
      </c>
      <c r="J22" s="56">
        <v>7</v>
      </c>
      <c r="K22" s="56">
        <v>0</v>
      </c>
      <c r="L22" s="203">
        <v>2184</v>
      </c>
      <c r="EB22" s="53"/>
    </row>
    <row r="23" spans="1:12" ht="18.75" customHeight="1">
      <c r="A23" s="343" t="s">
        <v>35</v>
      </c>
      <c r="B23" s="390"/>
      <c r="C23" s="390"/>
      <c r="D23" s="390"/>
      <c r="E23" s="43"/>
      <c r="F23" s="40"/>
      <c r="G23" s="43"/>
      <c r="H23" s="43"/>
      <c r="I23" s="40"/>
      <c r="J23" s="40"/>
      <c r="K23" s="43"/>
      <c r="L23" s="12"/>
    </row>
    <row r="24" spans="1:12" ht="18.75" customHeight="1">
      <c r="A24" s="376" t="s">
        <v>36</v>
      </c>
      <c r="B24" s="391"/>
      <c r="C24" s="41"/>
      <c r="D24" s="40"/>
      <c r="E24" s="40"/>
      <c r="F24" s="40"/>
      <c r="G24" s="40"/>
      <c r="H24" s="40"/>
      <c r="I24" s="40"/>
      <c r="J24" s="40"/>
      <c r="K24" s="40"/>
      <c r="L24" s="9"/>
    </row>
  </sheetData>
  <sheetProtection/>
  <mergeCells count="8">
    <mergeCell ref="A23:D23"/>
    <mergeCell ref="A24:B24"/>
    <mergeCell ref="A4:B4"/>
    <mergeCell ref="A2:F2"/>
    <mergeCell ref="G2:L2"/>
    <mergeCell ref="A3:F3"/>
    <mergeCell ref="G3:L3"/>
    <mergeCell ref="K4:L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F41"/>
  <sheetViews>
    <sheetView zoomScalePageLayoutView="0" workbookViewId="0" topLeftCell="A1">
      <pane xSplit="2" ySplit="5" topLeftCell="E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3" sqref="M43"/>
    </sheetView>
  </sheetViews>
  <sheetFormatPr defaultColWidth="9.00390625" defaultRowHeight="16.5"/>
  <cols>
    <col min="1" max="1" width="11.625" style="1" customWidth="1"/>
    <col min="2" max="2" width="11.50390625" style="1" customWidth="1"/>
    <col min="3" max="3" width="11.125" style="1" customWidth="1"/>
    <col min="4" max="4" width="11.625" style="1" customWidth="1"/>
    <col min="5" max="5" width="11.75390625" style="1" customWidth="1"/>
    <col min="6" max="7" width="11.125" style="1" customWidth="1"/>
    <col min="8" max="8" width="11.75390625" style="1" customWidth="1"/>
    <col min="9" max="10" width="11.125" style="1" customWidth="1"/>
    <col min="11" max="11" width="11.50390625" style="1" customWidth="1"/>
    <col min="12" max="13" width="11.125" style="1" customWidth="1"/>
    <col min="14" max="14" width="14.75390625" style="1" customWidth="1"/>
    <col min="15" max="15" width="11.875" style="1" customWidth="1"/>
    <col min="16" max="16" width="12.25390625" style="1" customWidth="1"/>
    <col min="17" max="16384" width="9.00390625" style="1" customWidth="1"/>
  </cols>
  <sheetData>
    <row r="1" spans="8:9" s="34" customFormat="1" ht="15" customHeight="1">
      <c r="H1" s="123" t="s">
        <v>309</v>
      </c>
      <c r="I1" s="123" t="s">
        <v>242</v>
      </c>
    </row>
    <row r="2" spans="1:18" ht="25.5" customHeight="1">
      <c r="A2" s="407" t="s">
        <v>299</v>
      </c>
      <c r="B2" s="407"/>
      <c r="C2" s="407"/>
      <c r="D2" s="407"/>
      <c r="E2" s="407"/>
      <c r="F2" s="407"/>
      <c r="G2" s="407"/>
      <c r="H2" s="407"/>
      <c r="I2" s="405" t="s">
        <v>297</v>
      </c>
      <c r="J2" s="405"/>
      <c r="K2" s="405"/>
      <c r="L2" s="405"/>
      <c r="M2" s="405"/>
      <c r="N2" s="405"/>
      <c r="O2" s="405"/>
      <c r="P2" s="405"/>
      <c r="Q2" s="161"/>
      <c r="R2" s="161"/>
    </row>
    <row r="3" spans="1:18" ht="18" customHeight="1">
      <c r="A3" s="406" t="s">
        <v>298</v>
      </c>
      <c r="B3" s="406"/>
      <c r="C3" s="406"/>
      <c r="D3" s="406"/>
      <c r="E3" s="406"/>
      <c r="F3" s="406"/>
      <c r="G3" s="406"/>
      <c r="H3" s="406"/>
      <c r="I3" s="402" t="s">
        <v>6</v>
      </c>
      <c r="J3" s="402"/>
      <c r="K3" s="402"/>
      <c r="L3" s="402"/>
      <c r="M3" s="402"/>
      <c r="N3" s="402"/>
      <c r="O3" s="402"/>
      <c r="P3" s="402"/>
      <c r="Q3" s="162"/>
      <c r="R3" s="162"/>
    </row>
    <row r="4" spans="1:16" ht="16.5" customHeight="1">
      <c r="A4" s="343" t="s">
        <v>1</v>
      </c>
      <c r="B4" s="403"/>
      <c r="C4" s="10"/>
      <c r="D4" s="10"/>
      <c r="E4" s="10"/>
      <c r="F4" s="10"/>
      <c r="G4" s="9"/>
      <c r="H4" s="9"/>
      <c r="I4" s="18"/>
      <c r="J4" s="18"/>
      <c r="K4" s="18"/>
      <c r="L4" s="2"/>
      <c r="M4" s="18"/>
      <c r="N4" s="61"/>
      <c r="O4" s="347" t="s">
        <v>85</v>
      </c>
      <c r="P4" s="347"/>
    </row>
    <row r="5" spans="1:17" s="18" customFormat="1" ht="45.75" customHeight="1">
      <c r="A5" s="400" t="s">
        <v>98</v>
      </c>
      <c r="B5" s="401"/>
      <c r="C5" s="57" t="s">
        <v>37</v>
      </c>
      <c r="D5" s="60" t="s">
        <v>363</v>
      </c>
      <c r="E5" s="60" t="s">
        <v>38</v>
      </c>
      <c r="F5" s="60" t="s">
        <v>39</v>
      </c>
      <c r="G5" s="60" t="s">
        <v>40</v>
      </c>
      <c r="H5" s="57" t="s">
        <v>41</v>
      </c>
      <c r="I5" s="58" t="s">
        <v>42</v>
      </c>
      <c r="J5" s="57" t="s">
        <v>43</v>
      </c>
      <c r="K5" s="57" t="s">
        <v>44</v>
      </c>
      <c r="L5" s="57" t="s">
        <v>45</v>
      </c>
      <c r="M5" s="57" t="s">
        <v>19</v>
      </c>
      <c r="N5" s="57" t="s">
        <v>46</v>
      </c>
      <c r="O5" s="59" t="s">
        <v>20</v>
      </c>
      <c r="P5" s="57" t="s">
        <v>47</v>
      </c>
      <c r="Q5" s="88"/>
    </row>
    <row r="6" spans="1:162" ht="25.5" customHeight="1">
      <c r="A6" s="404" t="s">
        <v>227</v>
      </c>
      <c r="B6" s="238" t="s">
        <v>24</v>
      </c>
      <c r="C6" s="204">
        <f>SUM(D6:P6,'6-3-1鄉鎮預出續一'!C6:L6)</f>
        <v>72075</v>
      </c>
      <c r="D6" s="205">
        <v>12607</v>
      </c>
      <c r="E6" s="205">
        <v>37011</v>
      </c>
      <c r="F6" s="205">
        <v>1512</v>
      </c>
      <c r="G6" s="205">
        <v>187</v>
      </c>
      <c r="H6" s="205">
        <v>350</v>
      </c>
      <c r="I6" s="205">
        <v>0</v>
      </c>
      <c r="J6" s="205">
        <v>283</v>
      </c>
      <c r="K6" s="205">
        <v>193</v>
      </c>
      <c r="L6" s="205">
        <v>0</v>
      </c>
      <c r="M6" s="205">
        <v>0</v>
      </c>
      <c r="N6" s="205">
        <v>6852</v>
      </c>
      <c r="O6" s="206">
        <v>0</v>
      </c>
      <c r="P6" s="207">
        <v>90</v>
      </c>
      <c r="Q6" s="1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</row>
    <row r="7" spans="1:162" ht="25.5" customHeight="1">
      <c r="A7" s="324"/>
      <c r="B7" s="239" t="s">
        <v>25</v>
      </c>
      <c r="C7" s="208">
        <f>SUM(D7:P7,'6-3-1鄉鎮預出續一'!C7:L7)</f>
        <v>164415</v>
      </c>
      <c r="D7" s="145">
        <v>12710</v>
      </c>
      <c r="E7" s="145">
        <v>43934</v>
      </c>
      <c r="F7" s="145">
        <v>3118</v>
      </c>
      <c r="G7" s="145">
        <v>187</v>
      </c>
      <c r="H7" s="145">
        <v>350</v>
      </c>
      <c r="I7" s="145">
        <v>0</v>
      </c>
      <c r="J7" s="145">
        <v>583</v>
      </c>
      <c r="K7" s="145">
        <v>994</v>
      </c>
      <c r="L7" s="145">
        <v>0</v>
      </c>
      <c r="M7" s="145">
        <v>0</v>
      </c>
      <c r="N7" s="145">
        <v>86708</v>
      </c>
      <c r="O7" s="145">
        <v>0</v>
      </c>
      <c r="P7" s="209">
        <v>340</v>
      </c>
      <c r="Q7" s="10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</row>
    <row r="8" spans="1:162" ht="25.5" customHeight="1">
      <c r="A8" s="373" t="s">
        <v>228</v>
      </c>
      <c r="B8" s="239" t="s">
        <v>24</v>
      </c>
      <c r="C8" s="208">
        <f>SUM(D8:P8,'6-3-1鄉鎮預出續一'!C8:L8)</f>
        <v>117584</v>
      </c>
      <c r="D8" s="145">
        <v>13204</v>
      </c>
      <c r="E8" s="145">
        <v>42529</v>
      </c>
      <c r="F8" s="145">
        <v>1752</v>
      </c>
      <c r="G8" s="145">
        <v>303</v>
      </c>
      <c r="H8" s="145">
        <v>378</v>
      </c>
      <c r="I8" s="145">
        <v>0</v>
      </c>
      <c r="J8" s="145">
        <v>718</v>
      </c>
      <c r="K8" s="145">
        <v>704</v>
      </c>
      <c r="L8" s="145">
        <v>0</v>
      </c>
      <c r="M8" s="145">
        <v>0</v>
      </c>
      <c r="N8" s="145">
        <v>39567</v>
      </c>
      <c r="O8" s="145">
        <v>0</v>
      </c>
      <c r="P8" s="209">
        <v>361</v>
      </c>
      <c r="Q8" s="1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</row>
    <row r="9" spans="1:162" ht="25.5" customHeight="1">
      <c r="A9" s="324"/>
      <c r="B9" s="239" t="s">
        <v>25</v>
      </c>
      <c r="C9" s="208">
        <f>SUM(D9:P9,'6-3-1鄉鎮預出續一'!C9:L9)</f>
        <v>147040</v>
      </c>
      <c r="D9" s="145">
        <v>13687</v>
      </c>
      <c r="E9" s="145">
        <v>41326</v>
      </c>
      <c r="F9" s="145">
        <v>2995</v>
      </c>
      <c r="G9" s="145">
        <v>303</v>
      </c>
      <c r="H9" s="145">
        <v>378</v>
      </c>
      <c r="I9" s="145">
        <v>0</v>
      </c>
      <c r="J9" s="145">
        <v>898</v>
      </c>
      <c r="K9" s="145">
        <v>1165</v>
      </c>
      <c r="L9" s="145">
        <v>0</v>
      </c>
      <c r="M9" s="145">
        <v>0</v>
      </c>
      <c r="N9" s="145">
        <v>67534</v>
      </c>
      <c r="O9" s="145">
        <v>0</v>
      </c>
      <c r="P9" s="209">
        <v>361</v>
      </c>
      <c r="Q9" s="10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</row>
    <row r="10" spans="1:162" ht="25.5" customHeight="1">
      <c r="A10" s="373" t="s">
        <v>229</v>
      </c>
      <c r="B10" s="239" t="s">
        <v>24</v>
      </c>
      <c r="C10" s="208">
        <f>SUM(D10:P10,'6-3-1鄉鎮預出續一'!C10:L10)</f>
        <v>92800</v>
      </c>
      <c r="D10" s="146">
        <v>13527</v>
      </c>
      <c r="E10" s="146">
        <v>43868</v>
      </c>
      <c r="F10" s="146">
        <v>2055</v>
      </c>
      <c r="G10" s="146">
        <v>194</v>
      </c>
      <c r="H10" s="146">
        <v>295</v>
      </c>
      <c r="I10" s="146">
        <v>0</v>
      </c>
      <c r="J10" s="146">
        <v>607</v>
      </c>
      <c r="K10" s="146">
        <v>2223</v>
      </c>
      <c r="L10" s="146">
        <v>0</v>
      </c>
      <c r="M10" s="146">
        <v>0</v>
      </c>
      <c r="N10" s="146">
        <v>14651</v>
      </c>
      <c r="O10" s="146">
        <v>0</v>
      </c>
      <c r="P10" s="210">
        <v>355</v>
      </c>
      <c r="Q10" s="1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</row>
    <row r="11" spans="1:162" ht="25.5" customHeight="1">
      <c r="A11" s="324"/>
      <c r="B11" s="239" t="s">
        <v>25</v>
      </c>
      <c r="C11" s="208">
        <f>SUM(D11:P11,'6-3-1鄉鎮預出續一'!C11:L11)</f>
        <v>123775</v>
      </c>
      <c r="D11" s="146">
        <v>13681</v>
      </c>
      <c r="E11" s="146">
        <v>44681</v>
      </c>
      <c r="F11" s="146">
        <v>6550</v>
      </c>
      <c r="G11" s="146">
        <v>194</v>
      </c>
      <c r="H11" s="146">
        <v>305</v>
      </c>
      <c r="I11" s="146">
        <v>0</v>
      </c>
      <c r="J11" s="146">
        <v>1107</v>
      </c>
      <c r="K11" s="146">
        <v>3013</v>
      </c>
      <c r="L11" s="146">
        <v>0</v>
      </c>
      <c r="M11" s="146">
        <v>0</v>
      </c>
      <c r="N11" s="146">
        <v>34821</v>
      </c>
      <c r="O11" s="146">
        <v>0</v>
      </c>
      <c r="P11" s="210">
        <v>360</v>
      </c>
      <c r="Q11" s="10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</row>
    <row r="12" spans="1:162" ht="25.5" customHeight="1">
      <c r="A12" s="373" t="s">
        <v>230</v>
      </c>
      <c r="B12" s="240" t="s">
        <v>24</v>
      </c>
      <c r="C12" s="208">
        <f>SUM(D12:P12,'6-3-1鄉鎮預出續一'!C14:L14)</f>
        <v>113812</v>
      </c>
      <c r="D12" s="147">
        <v>14589</v>
      </c>
      <c r="E12" s="147">
        <v>16569</v>
      </c>
      <c r="F12" s="147">
        <v>11387</v>
      </c>
      <c r="G12" s="147">
        <v>1577</v>
      </c>
      <c r="H12" s="147">
        <v>310</v>
      </c>
      <c r="I12" s="147">
        <v>0</v>
      </c>
      <c r="J12" s="147">
        <v>2984</v>
      </c>
      <c r="K12" s="147">
        <v>6738</v>
      </c>
      <c r="L12" s="147">
        <v>0</v>
      </c>
      <c r="M12" s="147">
        <v>0</v>
      </c>
      <c r="N12" s="147">
        <v>33590</v>
      </c>
      <c r="O12" s="147">
        <v>0</v>
      </c>
      <c r="P12" s="211">
        <v>385</v>
      </c>
      <c r="Q12" s="10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</row>
    <row r="13" spans="1:162" ht="25.5" customHeight="1">
      <c r="A13" s="324"/>
      <c r="B13" s="240" t="s">
        <v>25</v>
      </c>
      <c r="C13" s="208">
        <f>SUM(D13:P13,'6-3-1鄉鎮預出續一'!C15:L15)</f>
        <v>136747</v>
      </c>
      <c r="D13" s="147">
        <v>14791</v>
      </c>
      <c r="E13" s="147">
        <v>18109</v>
      </c>
      <c r="F13" s="147">
        <v>12916</v>
      </c>
      <c r="G13" s="147">
        <v>1457</v>
      </c>
      <c r="H13" s="147">
        <v>325</v>
      </c>
      <c r="I13" s="147">
        <v>0</v>
      </c>
      <c r="J13" s="147">
        <v>3577</v>
      </c>
      <c r="K13" s="147">
        <v>7344</v>
      </c>
      <c r="L13" s="147">
        <v>0</v>
      </c>
      <c r="M13" s="147">
        <v>0</v>
      </c>
      <c r="N13" s="147">
        <v>50417</v>
      </c>
      <c r="O13" s="147">
        <v>0</v>
      </c>
      <c r="P13" s="211">
        <v>385</v>
      </c>
      <c r="Q13" s="1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</row>
    <row r="14" spans="1:162" ht="25.5" customHeight="1">
      <c r="A14" s="373" t="s">
        <v>231</v>
      </c>
      <c r="B14" s="240" t="s">
        <v>24</v>
      </c>
      <c r="C14" s="212">
        <f>SUM(D14:P14,'6-3-1鄉鎮預出續一'!C14:L14)</f>
        <v>116420</v>
      </c>
      <c r="D14" s="147">
        <v>15331</v>
      </c>
      <c r="E14" s="147">
        <v>19364</v>
      </c>
      <c r="F14" s="147">
        <v>11799</v>
      </c>
      <c r="G14" s="147">
        <v>1548</v>
      </c>
      <c r="H14" s="147">
        <v>640</v>
      </c>
      <c r="I14" s="147">
        <v>0</v>
      </c>
      <c r="J14" s="147">
        <v>2934</v>
      </c>
      <c r="K14" s="147">
        <v>6531</v>
      </c>
      <c r="L14" s="147">
        <v>0</v>
      </c>
      <c r="M14" s="147">
        <v>0</v>
      </c>
      <c r="N14" s="147">
        <v>32280</v>
      </c>
      <c r="O14" s="147">
        <v>0</v>
      </c>
      <c r="P14" s="211">
        <v>310</v>
      </c>
      <c r="Q14" s="10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</row>
    <row r="15" spans="1:162" ht="25.5" customHeight="1">
      <c r="A15" s="324"/>
      <c r="B15" s="240" t="s">
        <v>25</v>
      </c>
      <c r="C15" s="212">
        <f>SUM(D15:P15,'6-3-1鄉鎮預出續一'!C15:L15)</f>
        <v>145545</v>
      </c>
      <c r="D15" s="147">
        <v>15521</v>
      </c>
      <c r="E15" s="147">
        <v>21038</v>
      </c>
      <c r="F15" s="147">
        <v>15291</v>
      </c>
      <c r="G15" s="147">
        <v>13889</v>
      </c>
      <c r="H15" s="147">
        <v>640</v>
      </c>
      <c r="I15" s="147">
        <v>0</v>
      </c>
      <c r="J15" s="147">
        <v>3134</v>
      </c>
      <c r="K15" s="147">
        <v>9424</v>
      </c>
      <c r="L15" s="147">
        <v>0</v>
      </c>
      <c r="M15" s="147">
        <v>0</v>
      </c>
      <c r="N15" s="147">
        <v>38872</v>
      </c>
      <c r="O15" s="147">
        <v>0</v>
      </c>
      <c r="P15" s="211">
        <v>310</v>
      </c>
      <c r="Q15" s="38"/>
      <c r="R15" s="12"/>
      <c r="S15" s="12"/>
      <c r="T15" s="12"/>
      <c r="U15" s="12"/>
      <c r="V15" s="12"/>
      <c r="W15" s="12"/>
      <c r="X15" s="12"/>
      <c r="Y15" s="12"/>
      <c r="Z15" s="12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</row>
    <row r="16" spans="1:162" s="49" customFormat="1" ht="25.5" customHeight="1">
      <c r="A16" s="369" t="s">
        <v>232</v>
      </c>
      <c r="B16" s="240" t="s">
        <v>24</v>
      </c>
      <c r="C16" s="212">
        <f>SUM(D16:P16,'6-3-1鄉鎮預出續一'!C14:L14)</f>
        <v>119077</v>
      </c>
      <c r="D16" s="147">
        <v>14699</v>
      </c>
      <c r="E16" s="147">
        <v>16983</v>
      </c>
      <c r="F16" s="147">
        <v>15028</v>
      </c>
      <c r="G16" s="147">
        <v>2318</v>
      </c>
      <c r="H16" s="147">
        <v>610</v>
      </c>
      <c r="I16" s="147">
        <v>0</v>
      </c>
      <c r="J16" s="147">
        <v>3195</v>
      </c>
      <c r="K16" s="147">
        <v>10921</v>
      </c>
      <c r="L16" s="147">
        <v>0</v>
      </c>
      <c r="M16" s="147">
        <v>0</v>
      </c>
      <c r="N16" s="147">
        <v>28912</v>
      </c>
      <c r="O16" s="147">
        <v>0</v>
      </c>
      <c r="P16" s="211">
        <v>728</v>
      </c>
      <c r="Q16" s="133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</row>
    <row r="17" spans="1:162" s="49" customFormat="1" ht="25.5" customHeight="1">
      <c r="A17" s="399"/>
      <c r="B17" s="240" t="s">
        <v>25</v>
      </c>
      <c r="C17" s="212">
        <f>SUM(D17:P17,'6-3-1鄉鎮預出續一'!C15:L15)</f>
        <v>151640</v>
      </c>
      <c r="D17" s="147">
        <v>14748</v>
      </c>
      <c r="E17" s="147">
        <v>17575</v>
      </c>
      <c r="F17" s="147">
        <v>17062</v>
      </c>
      <c r="G17" s="147">
        <v>2318</v>
      </c>
      <c r="H17" s="147">
        <v>610</v>
      </c>
      <c r="I17" s="147">
        <v>0</v>
      </c>
      <c r="J17" s="147">
        <v>3195</v>
      </c>
      <c r="K17" s="147">
        <v>12221</v>
      </c>
      <c r="L17" s="147">
        <v>0</v>
      </c>
      <c r="M17" s="147">
        <v>0</v>
      </c>
      <c r="N17" s="147">
        <v>55647</v>
      </c>
      <c r="O17" s="147">
        <v>0</v>
      </c>
      <c r="P17" s="211">
        <v>838</v>
      </c>
      <c r="Q17" s="148"/>
      <c r="R17" s="53"/>
      <c r="S17" s="53"/>
      <c r="T17" s="53"/>
      <c r="U17" s="53"/>
      <c r="V17" s="53"/>
      <c r="W17" s="53"/>
      <c r="X17" s="53"/>
      <c r="Y17" s="53"/>
      <c r="Z17" s="53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</row>
    <row r="18" spans="1:162" s="54" customFormat="1" ht="25.5" customHeight="1">
      <c r="A18" s="369" t="s">
        <v>233</v>
      </c>
      <c r="B18" s="240" t="s">
        <v>24</v>
      </c>
      <c r="C18" s="212">
        <f>SUM(D18:P18,'6-3-1鄉鎮預出續一'!C16:L16)</f>
        <v>115892</v>
      </c>
      <c r="D18" s="147">
        <v>15963</v>
      </c>
      <c r="E18" s="147">
        <v>18575</v>
      </c>
      <c r="F18" s="147">
        <v>15787</v>
      </c>
      <c r="G18" s="147">
        <v>2416</v>
      </c>
      <c r="H18" s="147">
        <v>470</v>
      </c>
      <c r="I18" s="147">
        <v>0</v>
      </c>
      <c r="J18" s="147">
        <v>3577</v>
      </c>
      <c r="K18" s="147">
        <v>10079</v>
      </c>
      <c r="L18" s="147">
        <v>0</v>
      </c>
      <c r="M18" s="147">
        <v>0</v>
      </c>
      <c r="N18" s="147">
        <v>16431</v>
      </c>
      <c r="O18" s="147">
        <v>0</v>
      </c>
      <c r="P18" s="211">
        <v>993</v>
      </c>
      <c r="Q18" s="148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</row>
    <row r="19" spans="1:162" s="54" customFormat="1" ht="25.5" customHeight="1">
      <c r="A19" s="399"/>
      <c r="B19" s="240" t="s">
        <v>25</v>
      </c>
      <c r="C19" s="212">
        <f>SUM(D19:P19,'6-3-1鄉鎮預出續一'!C17:L17)</f>
        <v>201983</v>
      </c>
      <c r="D19" s="147">
        <v>16015</v>
      </c>
      <c r="E19" s="147">
        <v>19393</v>
      </c>
      <c r="F19" s="147">
        <v>17042</v>
      </c>
      <c r="G19" s="147">
        <v>2416</v>
      </c>
      <c r="H19" s="147">
        <v>470</v>
      </c>
      <c r="I19" s="147">
        <v>0</v>
      </c>
      <c r="J19" s="147">
        <v>3966</v>
      </c>
      <c r="K19" s="147">
        <v>13142</v>
      </c>
      <c r="L19" s="147">
        <v>0</v>
      </c>
      <c r="M19" s="147">
        <v>0</v>
      </c>
      <c r="N19" s="147">
        <v>96817</v>
      </c>
      <c r="O19" s="147">
        <v>0</v>
      </c>
      <c r="P19" s="211">
        <v>1083</v>
      </c>
      <c r="Q19" s="148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</row>
    <row r="20" spans="1:162" s="49" customFormat="1" ht="25.5" customHeight="1">
      <c r="A20" s="369" t="s">
        <v>234</v>
      </c>
      <c r="B20" s="240" t="s">
        <v>24</v>
      </c>
      <c r="C20" s="212">
        <f>SUM(D20:P20,'6-3-1鄉鎮預出續一'!C20:L20)</f>
        <v>94121</v>
      </c>
      <c r="D20" s="147">
        <v>14671</v>
      </c>
      <c r="E20" s="147">
        <v>15620</v>
      </c>
      <c r="F20" s="147">
        <v>15427</v>
      </c>
      <c r="G20" s="147">
        <v>2377</v>
      </c>
      <c r="H20" s="147">
        <v>160</v>
      </c>
      <c r="I20" s="147">
        <v>0</v>
      </c>
      <c r="J20" s="147">
        <v>2648</v>
      </c>
      <c r="K20" s="147">
        <v>8442</v>
      </c>
      <c r="L20" s="147">
        <v>0</v>
      </c>
      <c r="M20" s="147">
        <v>0</v>
      </c>
      <c r="N20" s="147">
        <v>8043</v>
      </c>
      <c r="O20" s="147">
        <v>0</v>
      </c>
      <c r="P20" s="211">
        <v>982</v>
      </c>
      <c r="Q20" s="133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</row>
    <row r="21" spans="1:162" s="49" customFormat="1" ht="25.5" customHeight="1">
      <c r="A21" s="399"/>
      <c r="B21" s="240" t="s">
        <v>25</v>
      </c>
      <c r="C21" s="212">
        <f>SUM(D21:P21,'6-3-1鄉鎮預出續一'!C21:L21)</f>
        <v>203219</v>
      </c>
      <c r="D21" s="147">
        <v>14671</v>
      </c>
      <c r="E21" s="147">
        <v>19704</v>
      </c>
      <c r="F21" s="147">
        <v>19428</v>
      </c>
      <c r="G21" s="147">
        <v>2377</v>
      </c>
      <c r="H21" s="147">
        <v>160</v>
      </c>
      <c r="I21" s="147">
        <v>0</v>
      </c>
      <c r="J21" s="147">
        <v>2598</v>
      </c>
      <c r="K21" s="147">
        <v>9692</v>
      </c>
      <c r="L21" s="147">
        <v>0</v>
      </c>
      <c r="M21" s="147">
        <v>0</v>
      </c>
      <c r="N21" s="147">
        <v>106222</v>
      </c>
      <c r="O21" s="147">
        <v>0</v>
      </c>
      <c r="P21" s="211">
        <v>932</v>
      </c>
      <c r="Q21" s="148"/>
      <c r="R21" s="53"/>
      <c r="S21" s="53"/>
      <c r="T21" s="53"/>
      <c r="U21" s="53"/>
      <c r="V21" s="53"/>
      <c r="W21" s="53"/>
      <c r="X21" s="53"/>
      <c r="Y21" s="53"/>
      <c r="Z21" s="53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</row>
    <row r="22" spans="1:162" s="49" customFormat="1" ht="25.5" customHeight="1">
      <c r="A22" s="369" t="s">
        <v>235</v>
      </c>
      <c r="B22" s="240" t="s">
        <v>24</v>
      </c>
      <c r="C22" s="212">
        <f>SUM(D22:P22,'6-3-1鄉鎮預出續一'!C22:L22)</f>
        <v>136342</v>
      </c>
      <c r="D22" s="147">
        <f>500+14501</f>
        <v>15001</v>
      </c>
      <c r="E22" s="147">
        <f>13658+1745</f>
        <v>15403</v>
      </c>
      <c r="F22" s="147">
        <v>18617</v>
      </c>
      <c r="G22" s="147">
        <v>2377</v>
      </c>
      <c r="H22" s="147">
        <f>160</f>
        <v>160</v>
      </c>
      <c r="I22" s="147">
        <v>0</v>
      </c>
      <c r="J22" s="147">
        <f>300+2809</f>
        <v>3109</v>
      </c>
      <c r="K22" s="147">
        <f>8745+200</f>
        <v>8945</v>
      </c>
      <c r="L22" s="147">
        <v>0</v>
      </c>
      <c r="M22" s="147">
        <v>0</v>
      </c>
      <c r="N22" s="147">
        <f>4970+41200</f>
        <v>46170</v>
      </c>
      <c r="O22" s="147">
        <v>0</v>
      </c>
      <c r="P22" s="211">
        <v>1099</v>
      </c>
      <c r="Q22" s="148"/>
      <c r="R22" s="53"/>
      <c r="S22" s="53"/>
      <c r="T22" s="53"/>
      <c r="U22" s="53"/>
      <c r="V22" s="53"/>
      <c r="W22" s="53"/>
      <c r="X22" s="53"/>
      <c r="Y22" s="53"/>
      <c r="Z22" s="53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</row>
    <row r="23" spans="1:162" s="49" customFormat="1" ht="25.5" customHeight="1">
      <c r="A23" s="399"/>
      <c r="B23" s="240" t="s">
        <v>25</v>
      </c>
      <c r="C23" s="212">
        <f>SUM(D23:P23,'6-3-1鄉鎮預出續一'!C23:L23)</f>
        <v>230625</v>
      </c>
      <c r="D23" s="147">
        <v>15001</v>
      </c>
      <c r="E23" s="147">
        <v>14471</v>
      </c>
      <c r="F23" s="147">
        <v>22094</v>
      </c>
      <c r="G23" s="147">
        <v>2377</v>
      </c>
      <c r="H23" s="147">
        <v>160</v>
      </c>
      <c r="I23" s="147">
        <v>0</v>
      </c>
      <c r="J23" s="147">
        <v>3279</v>
      </c>
      <c r="K23" s="147">
        <v>20906</v>
      </c>
      <c r="L23" s="147">
        <v>0</v>
      </c>
      <c r="M23" s="147">
        <v>0</v>
      </c>
      <c r="N23" s="147">
        <v>124632</v>
      </c>
      <c r="O23" s="147">
        <v>0</v>
      </c>
      <c r="P23" s="211">
        <v>1099</v>
      </c>
      <c r="Q23" s="148"/>
      <c r="R23" s="53"/>
      <c r="S23" s="53"/>
      <c r="T23" s="53"/>
      <c r="U23" s="53"/>
      <c r="V23" s="53"/>
      <c r="W23" s="53"/>
      <c r="X23" s="53"/>
      <c r="Y23" s="53"/>
      <c r="Z23" s="53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</row>
    <row r="24" spans="1:162" s="49" customFormat="1" ht="25.5" customHeight="1">
      <c r="A24" s="369" t="s">
        <v>236</v>
      </c>
      <c r="B24" s="240" t="s">
        <v>24</v>
      </c>
      <c r="C24" s="212">
        <f>SUM(D24:P24,'6-3-1鄉鎮預出續一'!C24:L24)</f>
        <v>137912</v>
      </c>
      <c r="D24" s="147">
        <v>17098</v>
      </c>
      <c r="E24" s="147">
        <v>16033</v>
      </c>
      <c r="F24" s="147">
        <v>18623</v>
      </c>
      <c r="G24" s="147">
        <v>1577</v>
      </c>
      <c r="H24" s="147">
        <f>160</f>
        <v>160</v>
      </c>
      <c r="I24" s="147">
        <v>0</v>
      </c>
      <c r="J24" s="147">
        <v>3834</v>
      </c>
      <c r="K24" s="147">
        <v>12785</v>
      </c>
      <c r="L24" s="147">
        <v>0</v>
      </c>
      <c r="M24" s="147">
        <v>0</v>
      </c>
      <c r="N24" s="147">
        <v>37641</v>
      </c>
      <c r="O24" s="147">
        <v>0</v>
      </c>
      <c r="P24" s="211">
        <v>1059</v>
      </c>
      <c r="Q24" s="148"/>
      <c r="R24" s="53"/>
      <c r="S24" s="53"/>
      <c r="T24" s="53"/>
      <c r="U24" s="53"/>
      <c r="V24" s="53"/>
      <c r="W24" s="53"/>
      <c r="X24" s="53"/>
      <c r="Y24" s="53"/>
      <c r="Z24" s="53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</row>
    <row r="25" spans="1:162" s="49" customFormat="1" ht="25.5" customHeight="1">
      <c r="A25" s="399"/>
      <c r="B25" s="240" t="s">
        <v>25</v>
      </c>
      <c r="C25" s="212">
        <f>SUM(D25:P25,'6-3-1鄉鎮預出續一'!C25:L25)</f>
        <v>171756</v>
      </c>
      <c r="D25" s="147">
        <v>17098</v>
      </c>
      <c r="E25" s="147">
        <v>16366</v>
      </c>
      <c r="F25" s="147">
        <v>19709</v>
      </c>
      <c r="G25" s="147">
        <v>1577</v>
      </c>
      <c r="H25" s="147">
        <v>160</v>
      </c>
      <c r="I25" s="147">
        <v>0</v>
      </c>
      <c r="J25" s="147">
        <v>3834</v>
      </c>
      <c r="K25" s="147">
        <v>26443</v>
      </c>
      <c r="L25" s="147">
        <v>0</v>
      </c>
      <c r="M25" s="147">
        <v>0</v>
      </c>
      <c r="N25" s="147">
        <v>57672</v>
      </c>
      <c r="O25" s="147">
        <v>0</v>
      </c>
      <c r="P25" s="211">
        <v>1059</v>
      </c>
      <c r="Q25" s="148"/>
      <c r="R25" s="53"/>
      <c r="S25" s="53"/>
      <c r="T25" s="53"/>
      <c r="U25" s="53"/>
      <c r="V25" s="53"/>
      <c r="W25" s="53"/>
      <c r="X25" s="53"/>
      <c r="Y25" s="53"/>
      <c r="Z25" s="53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</row>
    <row r="26" spans="1:162" s="49" customFormat="1" ht="25.5" customHeight="1">
      <c r="A26" s="369" t="s">
        <v>316</v>
      </c>
      <c r="B26" s="240" t="s">
        <v>24</v>
      </c>
      <c r="C26" s="212">
        <f>SUM(D26:P26,'6-3-1鄉鎮預出續一'!C26:L26)</f>
        <v>148923</v>
      </c>
      <c r="D26" s="147">
        <v>15220</v>
      </c>
      <c r="E26" s="147">
        <v>16185</v>
      </c>
      <c r="F26" s="147">
        <v>19559</v>
      </c>
      <c r="G26" s="147">
        <v>1926</v>
      </c>
      <c r="H26" s="147">
        <v>160</v>
      </c>
      <c r="I26" s="147">
        <v>0</v>
      </c>
      <c r="J26" s="147">
        <v>3924</v>
      </c>
      <c r="K26" s="147">
        <v>10255</v>
      </c>
      <c r="L26" s="147">
        <v>0</v>
      </c>
      <c r="M26" s="147">
        <v>0</v>
      </c>
      <c r="N26" s="147">
        <v>49587</v>
      </c>
      <c r="O26" s="147">
        <v>299</v>
      </c>
      <c r="P26" s="211">
        <v>653</v>
      </c>
      <c r="Q26" s="148"/>
      <c r="R26" s="53"/>
      <c r="S26" s="53"/>
      <c r="T26" s="53"/>
      <c r="U26" s="53"/>
      <c r="V26" s="53"/>
      <c r="W26" s="53"/>
      <c r="X26" s="53"/>
      <c r="Y26" s="53"/>
      <c r="Z26" s="53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</row>
    <row r="27" spans="1:162" s="49" customFormat="1" ht="25.5" customHeight="1">
      <c r="A27" s="399"/>
      <c r="B27" s="240" t="s">
        <v>25</v>
      </c>
      <c r="C27" s="212">
        <f>SUM(D27:P27,'6-3-1鄉鎮預出續一'!C27:L27)</f>
        <v>256667</v>
      </c>
      <c r="D27" s="147">
        <v>15217</v>
      </c>
      <c r="E27" s="147">
        <v>17044</v>
      </c>
      <c r="F27" s="147">
        <v>25753</v>
      </c>
      <c r="G27" s="147">
        <v>1926</v>
      </c>
      <c r="H27" s="147">
        <v>160</v>
      </c>
      <c r="I27" s="147">
        <v>0</v>
      </c>
      <c r="J27" s="147">
        <v>4911</v>
      </c>
      <c r="K27" s="147">
        <v>14748</v>
      </c>
      <c r="L27" s="147">
        <v>0</v>
      </c>
      <c r="M27" s="147">
        <v>0</v>
      </c>
      <c r="N27" s="147">
        <v>142621</v>
      </c>
      <c r="O27" s="147">
        <v>299</v>
      </c>
      <c r="P27" s="211">
        <v>736</v>
      </c>
      <c r="Q27" s="148"/>
      <c r="R27" s="53"/>
      <c r="S27" s="53"/>
      <c r="T27" s="53"/>
      <c r="U27" s="53"/>
      <c r="V27" s="53"/>
      <c r="W27" s="53"/>
      <c r="X27" s="53"/>
      <c r="Y27" s="53"/>
      <c r="Z27" s="53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</row>
    <row r="28" spans="1:162" s="49" customFormat="1" ht="25.5" customHeight="1">
      <c r="A28" s="369" t="s">
        <v>321</v>
      </c>
      <c r="B28" s="240" t="s">
        <v>24</v>
      </c>
      <c r="C28" s="212">
        <f>SUM(D28:P28,'6-3-1鄉鎮預出續一'!C28:L28)</f>
        <v>158486</v>
      </c>
      <c r="D28" s="147">
        <f>15036+405</f>
        <v>15441</v>
      </c>
      <c r="E28" s="147">
        <f>15874+1765</f>
        <v>17639</v>
      </c>
      <c r="F28" s="147">
        <f>20598+510</f>
        <v>21108</v>
      </c>
      <c r="G28" s="147">
        <v>1925</v>
      </c>
      <c r="H28" s="147">
        <v>160</v>
      </c>
      <c r="I28" s="147">
        <v>0</v>
      </c>
      <c r="J28" s="147">
        <f>3364+600</f>
        <v>3964</v>
      </c>
      <c r="K28" s="147">
        <v>8284</v>
      </c>
      <c r="L28" s="147">
        <v>0</v>
      </c>
      <c r="M28" s="147">
        <v>0</v>
      </c>
      <c r="N28" s="147">
        <f>6378+46764</f>
        <v>53142</v>
      </c>
      <c r="O28" s="147">
        <v>330</v>
      </c>
      <c r="P28" s="211">
        <v>603</v>
      </c>
      <c r="Q28" s="148"/>
      <c r="R28" s="53"/>
      <c r="S28" s="53"/>
      <c r="T28" s="53"/>
      <c r="U28" s="53"/>
      <c r="V28" s="53"/>
      <c r="W28" s="53"/>
      <c r="X28" s="53"/>
      <c r="Y28" s="53"/>
      <c r="Z28" s="53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</row>
    <row r="29" spans="1:162" s="49" customFormat="1" ht="25.5" customHeight="1">
      <c r="A29" s="399"/>
      <c r="B29" s="240" t="s">
        <v>25</v>
      </c>
      <c r="C29" s="212">
        <f>SUM(D29:P29,'6-3-1鄉鎮預出續一'!C29:L29)</f>
        <v>201544</v>
      </c>
      <c r="D29" s="147">
        <f>15036+405</f>
        <v>15441</v>
      </c>
      <c r="E29" s="147">
        <f>16169+1765</f>
        <v>17934</v>
      </c>
      <c r="F29" s="147">
        <f>20650+560</f>
        <v>21210</v>
      </c>
      <c r="G29" s="147">
        <v>1925</v>
      </c>
      <c r="H29" s="147">
        <v>160</v>
      </c>
      <c r="I29" s="147">
        <v>0</v>
      </c>
      <c r="J29" s="147">
        <f>3637+600</f>
        <v>4237</v>
      </c>
      <c r="K29" s="147">
        <f>15527+2400</f>
        <v>17927</v>
      </c>
      <c r="L29" s="147">
        <v>0</v>
      </c>
      <c r="M29" s="147">
        <v>0</v>
      </c>
      <c r="N29" s="147">
        <f>6378+78719</f>
        <v>85097</v>
      </c>
      <c r="O29" s="147">
        <v>330</v>
      </c>
      <c r="P29" s="211">
        <v>603</v>
      </c>
      <c r="Q29" s="148"/>
      <c r="R29" s="53"/>
      <c r="S29" s="53"/>
      <c r="T29" s="53"/>
      <c r="U29" s="53"/>
      <c r="V29" s="53"/>
      <c r="W29" s="53"/>
      <c r="X29" s="53"/>
      <c r="Y29" s="53"/>
      <c r="Z29" s="53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</row>
    <row r="30" spans="1:162" s="49" customFormat="1" ht="25.5" customHeight="1">
      <c r="A30" s="369" t="s">
        <v>329</v>
      </c>
      <c r="B30" s="240" t="s">
        <v>24</v>
      </c>
      <c r="C30" s="212">
        <f>SUM(D30:P30,'6-3-1鄉鎮預出續一'!C30:L30)</f>
        <v>156483</v>
      </c>
      <c r="D30" s="147">
        <f>15072+150</f>
        <v>15222</v>
      </c>
      <c r="E30" s="147">
        <f>16428+2100</f>
        <v>18528</v>
      </c>
      <c r="F30" s="147">
        <f>19291+150</f>
        <v>19441</v>
      </c>
      <c r="G30" s="147">
        <v>1925</v>
      </c>
      <c r="H30" s="147">
        <f>4425+200</f>
        <v>4625</v>
      </c>
      <c r="I30" s="147">
        <v>0</v>
      </c>
      <c r="J30" s="147">
        <f>3564+63</f>
        <v>3627</v>
      </c>
      <c r="K30" s="147">
        <f>14056+140</f>
        <v>14196</v>
      </c>
      <c r="L30" s="147">
        <v>0</v>
      </c>
      <c r="M30" s="147">
        <v>2000</v>
      </c>
      <c r="N30" s="147">
        <f>7476+38464</f>
        <v>45940</v>
      </c>
      <c r="O30" s="147">
        <v>338</v>
      </c>
      <c r="P30" s="211">
        <v>538</v>
      </c>
      <c r="Q30" s="148"/>
      <c r="R30" s="53"/>
      <c r="S30" s="53"/>
      <c r="T30" s="53"/>
      <c r="U30" s="53"/>
      <c r="V30" s="53"/>
      <c r="W30" s="53"/>
      <c r="X30" s="53"/>
      <c r="Y30" s="53"/>
      <c r="Z30" s="53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</row>
    <row r="31" spans="1:162" s="49" customFormat="1" ht="25.5" customHeight="1">
      <c r="A31" s="399"/>
      <c r="B31" s="240" t="s">
        <v>25</v>
      </c>
      <c r="C31" s="212">
        <f>SUM(D31:P31,'6-3-1鄉鎮預出續一'!C31:L31)</f>
        <v>188956</v>
      </c>
      <c r="D31" s="147">
        <f>15072+150</f>
        <v>15222</v>
      </c>
      <c r="E31" s="147">
        <f>16458+2100</f>
        <v>18558</v>
      </c>
      <c r="F31" s="147">
        <f>20029+17655</f>
        <v>37684</v>
      </c>
      <c r="G31" s="147">
        <v>1925</v>
      </c>
      <c r="H31" s="147">
        <f>4335+200</f>
        <v>4535</v>
      </c>
      <c r="I31" s="147">
        <v>0</v>
      </c>
      <c r="J31" s="147">
        <f>3564+63</f>
        <v>3627</v>
      </c>
      <c r="K31" s="147">
        <f>17664+140</f>
        <v>17804</v>
      </c>
      <c r="L31" s="147">
        <v>0</v>
      </c>
      <c r="M31" s="147">
        <v>2000</v>
      </c>
      <c r="N31" s="147">
        <f>7470+49009</f>
        <v>56479</v>
      </c>
      <c r="O31" s="147">
        <v>338</v>
      </c>
      <c r="P31" s="211">
        <v>531</v>
      </c>
      <c r="Q31" s="148"/>
      <c r="R31" s="53"/>
      <c r="S31" s="53"/>
      <c r="T31" s="53"/>
      <c r="U31" s="53"/>
      <c r="V31" s="53"/>
      <c r="W31" s="53"/>
      <c r="X31" s="53"/>
      <c r="Y31" s="53"/>
      <c r="Z31" s="53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</row>
    <row r="32" spans="1:162" s="49" customFormat="1" ht="25.5" customHeight="1">
      <c r="A32" s="369" t="s">
        <v>338</v>
      </c>
      <c r="B32" s="240" t="s">
        <v>24</v>
      </c>
      <c r="C32" s="212">
        <f>SUM(D32:P32,'6-3-1鄉鎮預出續一'!C32:L32)</f>
        <v>174803</v>
      </c>
      <c r="D32" s="147">
        <f>15260+1162</f>
        <v>16422</v>
      </c>
      <c r="E32" s="147">
        <f>17128+15269-1</f>
        <v>32396</v>
      </c>
      <c r="F32" s="147">
        <f>18399+6510</f>
        <v>24909</v>
      </c>
      <c r="G32" s="147">
        <v>1823</v>
      </c>
      <c r="H32" s="147">
        <f>4562+50</f>
        <v>4612</v>
      </c>
      <c r="I32" s="147">
        <v>0</v>
      </c>
      <c r="J32" s="147">
        <v>6290</v>
      </c>
      <c r="K32" s="147">
        <v>9989</v>
      </c>
      <c r="L32" s="147">
        <v>0</v>
      </c>
      <c r="M32" s="147">
        <v>2000</v>
      </c>
      <c r="N32" s="147">
        <f>7011+36764</f>
        <v>43775</v>
      </c>
      <c r="O32" s="147">
        <v>385</v>
      </c>
      <c r="P32" s="211">
        <v>561</v>
      </c>
      <c r="Q32" s="148"/>
      <c r="R32" s="53"/>
      <c r="S32" s="53"/>
      <c r="T32" s="53"/>
      <c r="U32" s="53"/>
      <c r="V32" s="53"/>
      <c r="W32" s="53"/>
      <c r="X32" s="53"/>
      <c r="Y32" s="53"/>
      <c r="Z32" s="53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</row>
    <row r="33" spans="1:162" s="49" customFormat="1" ht="25.5" customHeight="1">
      <c r="A33" s="399"/>
      <c r="B33" s="240" t="s">
        <v>25</v>
      </c>
      <c r="C33" s="212">
        <f>SUM(D33:P33,'6-3-1鄉鎮預出續一'!C33:L33)</f>
        <v>223545</v>
      </c>
      <c r="D33" s="147">
        <f>16260+1162</f>
        <v>17422</v>
      </c>
      <c r="E33" s="147">
        <f>17477+15269</f>
        <v>32746</v>
      </c>
      <c r="F33" s="147">
        <f>18391+6621</f>
        <v>25012</v>
      </c>
      <c r="G33" s="147">
        <v>1823</v>
      </c>
      <c r="H33" s="147">
        <f>4562+50</f>
        <v>4612</v>
      </c>
      <c r="I33" s="147">
        <v>0</v>
      </c>
      <c r="J33" s="147">
        <v>6290</v>
      </c>
      <c r="K33" s="147">
        <f>18097+98</f>
        <v>18195</v>
      </c>
      <c r="L33" s="147">
        <v>0</v>
      </c>
      <c r="M33" s="147">
        <v>2000</v>
      </c>
      <c r="N33" s="147">
        <f>7011+76725</f>
        <v>83736</v>
      </c>
      <c r="O33" s="147">
        <v>385</v>
      </c>
      <c r="P33" s="211">
        <v>870</v>
      </c>
      <c r="Q33" s="148"/>
      <c r="R33" s="53"/>
      <c r="S33" s="53"/>
      <c r="T33" s="53"/>
      <c r="U33" s="53"/>
      <c r="V33" s="53"/>
      <c r="W33" s="53"/>
      <c r="X33" s="53"/>
      <c r="Y33" s="53"/>
      <c r="Z33" s="53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</row>
    <row r="34" spans="1:162" s="49" customFormat="1" ht="25.5" customHeight="1">
      <c r="A34" s="369" t="s">
        <v>349</v>
      </c>
      <c r="B34" s="240" t="s">
        <v>24</v>
      </c>
      <c r="C34" s="212">
        <f>SUM(D34:P34,'6-3-1鄉鎮預出續一'!C34:L34)</f>
        <v>187679</v>
      </c>
      <c r="D34" s="147">
        <v>15700</v>
      </c>
      <c r="E34" s="147">
        <v>18077</v>
      </c>
      <c r="F34" s="147">
        <v>18536</v>
      </c>
      <c r="G34" s="147">
        <v>1871</v>
      </c>
      <c r="H34" s="147">
        <v>4792</v>
      </c>
      <c r="I34" s="147">
        <v>0</v>
      </c>
      <c r="J34" s="147">
        <v>3460</v>
      </c>
      <c r="K34" s="147">
        <v>12494</v>
      </c>
      <c r="L34" s="147">
        <v>0</v>
      </c>
      <c r="M34" s="147">
        <v>2000</v>
      </c>
      <c r="N34" s="147">
        <v>69573</v>
      </c>
      <c r="O34" s="147">
        <v>385</v>
      </c>
      <c r="P34" s="211">
        <v>769</v>
      </c>
      <c r="Q34" s="148"/>
      <c r="R34" s="53"/>
      <c r="S34" s="53"/>
      <c r="T34" s="53"/>
      <c r="U34" s="53"/>
      <c r="V34" s="53"/>
      <c r="W34" s="53"/>
      <c r="X34" s="53"/>
      <c r="Y34" s="53"/>
      <c r="Z34" s="53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</row>
    <row r="35" spans="1:162" s="49" customFormat="1" ht="25.5" customHeight="1">
      <c r="A35" s="399"/>
      <c r="B35" s="240" t="s">
        <v>25</v>
      </c>
      <c r="C35" s="212">
        <f>SUM(D35:P35,'6-3-1鄉鎮預出續一'!C41:L41)</f>
        <v>299553</v>
      </c>
      <c r="D35" s="147">
        <v>15700</v>
      </c>
      <c r="E35" s="147">
        <v>18607</v>
      </c>
      <c r="F35" s="147">
        <v>24238</v>
      </c>
      <c r="G35" s="147">
        <v>1871</v>
      </c>
      <c r="H35" s="147">
        <v>3720</v>
      </c>
      <c r="I35" s="147">
        <v>0</v>
      </c>
      <c r="J35" s="147">
        <v>3460</v>
      </c>
      <c r="K35" s="147">
        <v>81112</v>
      </c>
      <c r="L35" s="147">
        <v>0</v>
      </c>
      <c r="M35" s="147">
        <v>2000</v>
      </c>
      <c r="N35" s="147">
        <v>147770</v>
      </c>
      <c r="O35" s="147">
        <v>385</v>
      </c>
      <c r="P35" s="211">
        <v>690</v>
      </c>
      <c r="Q35" s="148"/>
      <c r="R35" s="53"/>
      <c r="S35" s="53"/>
      <c r="T35" s="53"/>
      <c r="U35" s="53"/>
      <c r="V35" s="53"/>
      <c r="W35" s="53"/>
      <c r="X35" s="53"/>
      <c r="Y35" s="53"/>
      <c r="Z35" s="53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</row>
    <row r="36" spans="1:162" s="49" customFormat="1" ht="25.5" customHeight="1">
      <c r="A36" s="369" t="s">
        <v>357</v>
      </c>
      <c r="B36" s="240" t="s">
        <v>24</v>
      </c>
      <c r="C36" s="212">
        <f>SUM(D36:P36,'6-3-1鄉鎮預出續一'!C36:L36)</f>
        <v>172405</v>
      </c>
      <c r="D36" s="147">
        <v>17506</v>
      </c>
      <c r="E36" s="147">
        <v>18309</v>
      </c>
      <c r="F36" s="147">
        <v>24080</v>
      </c>
      <c r="G36" s="147">
        <v>1771</v>
      </c>
      <c r="H36" s="147">
        <v>4559</v>
      </c>
      <c r="I36" s="147">
        <v>0</v>
      </c>
      <c r="J36" s="147">
        <v>3227</v>
      </c>
      <c r="K36" s="147">
        <v>15032</v>
      </c>
      <c r="L36" s="147">
        <v>0</v>
      </c>
      <c r="M36" s="147">
        <v>2000</v>
      </c>
      <c r="N36" s="147">
        <v>52468</v>
      </c>
      <c r="O36" s="147">
        <v>371</v>
      </c>
      <c r="P36" s="211">
        <v>487</v>
      </c>
      <c r="Q36" s="148"/>
      <c r="R36" s="53"/>
      <c r="S36" s="53"/>
      <c r="T36" s="53"/>
      <c r="U36" s="53"/>
      <c r="V36" s="53"/>
      <c r="W36" s="53"/>
      <c r="X36" s="53"/>
      <c r="Y36" s="53"/>
      <c r="Z36" s="53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</row>
    <row r="37" spans="1:162" s="49" customFormat="1" ht="25.5" customHeight="1">
      <c r="A37" s="399"/>
      <c r="B37" s="240" t="s">
        <v>25</v>
      </c>
      <c r="C37" s="212">
        <f>SUM(D37:P37,'6-3-1鄉鎮預出續一'!C37:L37)</f>
        <v>313049</v>
      </c>
      <c r="D37" s="147">
        <v>17506</v>
      </c>
      <c r="E37" s="147">
        <v>18399</v>
      </c>
      <c r="F37" s="147">
        <v>26394</v>
      </c>
      <c r="G37" s="147">
        <v>1771</v>
      </c>
      <c r="H37" s="147">
        <v>4559</v>
      </c>
      <c r="I37" s="147">
        <v>0</v>
      </c>
      <c r="J37" s="147">
        <v>3227</v>
      </c>
      <c r="K37" s="147">
        <v>23891</v>
      </c>
      <c r="L37" s="147">
        <v>0</v>
      </c>
      <c r="M37" s="147">
        <v>7896</v>
      </c>
      <c r="N37" s="147">
        <v>171129</v>
      </c>
      <c r="O37" s="147">
        <v>371</v>
      </c>
      <c r="P37" s="211">
        <v>5171</v>
      </c>
      <c r="Q37" s="148"/>
      <c r="R37" s="53"/>
      <c r="S37" s="53"/>
      <c r="T37" s="53"/>
      <c r="U37" s="53"/>
      <c r="V37" s="53"/>
      <c r="W37" s="53"/>
      <c r="X37" s="53"/>
      <c r="Y37" s="53"/>
      <c r="Z37" s="53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</row>
    <row r="38" spans="1:162" s="49" customFormat="1" ht="25.5" customHeight="1">
      <c r="A38" s="369" t="s">
        <v>369</v>
      </c>
      <c r="B38" s="240" t="s">
        <v>24</v>
      </c>
      <c r="C38" s="212">
        <f>SUM(D38:P38,'6-3-1鄉鎮預出續一'!C38:L38)</f>
        <v>146760</v>
      </c>
      <c r="D38" s="147">
        <v>15189</v>
      </c>
      <c r="E38" s="147">
        <v>16485</v>
      </c>
      <c r="F38" s="147">
        <v>24309</v>
      </c>
      <c r="G38" s="147">
        <v>1768</v>
      </c>
      <c r="H38" s="147">
        <v>4698</v>
      </c>
      <c r="I38" s="147">
        <v>0</v>
      </c>
      <c r="J38" s="147">
        <v>3348</v>
      </c>
      <c r="K38" s="147">
        <v>12005</v>
      </c>
      <c r="L38" s="147">
        <v>0</v>
      </c>
      <c r="M38" s="147">
        <v>2000</v>
      </c>
      <c r="N38" s="147">
        <v>32883</v>
      </c>
      <c r="O38" s="147">
        <v>460</v>
      </c>
      <c r="P38" s="211">
        <v>625</v>
      </c>
      <c r="Q38" s="148"/>
      <c r="R38" s="53"/>
      <c r="S38" s="53"/>
      <c r="T38" s="53"/>
      <c r="U38" s="53"/>
      <c r="V38" s="53"/>
      <c r="W38" s="53"/>
      <c r="X38" s="53"/>
      <c r="Y38" s="53"/>
      <c r="Z38" s="53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</row>
    <row r="39" spans="1:162" s="49" customFormat="1" ht="25.5" customHeight="1">
      <c r="A39" s="398"/>
      <c r="B39" s="262" t="s">
        <v>25</v>
      </c>
      <c r="C39" s="290">
        <f>SUM(D39:P39,'6-3-1鄉鎮預出續一'!C39:L39)</f>
        <v>327011</v>
      </c>
      <c r="D39" s="149">
        <v>15248</v>
      </c>
      <c r="E39" s="149">
        <v>17931</v>
      </c>
      <c r="F39" s="149">
        <v>31729</v>
      </c>
      <c r="G39" s="149">
        <v>1768</v>
      </c>
      <c r="H39" s="149">
        <v>4718</v>
      </c>
      <c r="I39" s="149">
        <v>0</v>
      </c>
      <c r="J39" s="149">
        <v>3406</v>
      </c>
      <c r="K39" s="149">
        <v>104225</v>
      </c>
      <c r="L39" s="149">
        <v>0</v>
      </c>
      <c r="M39" s="149">
        <v>3984</v>
      </c>
      <c r="N39" s="149">
        <v>95776</v>
      </c>
      <c r="O39" s="149">
        <v>460</v>
      </c>
      <c r="P39" s="213">
        <v>13835</v>
      </c>
      <c r="Q39" s="148"/>
      <c r="R39" s="53"/>
      <c r="S39" s="53"/>
      <c r="T39" s="53"/>
      <c r="U39" s="53"/>
      <c r="V39" s="53"/>
      <c r="W39" s="53"/>
      <c r="X39" s="53"/>
      <c r="Y39" s="53"/>
      <c r="Z39" s="53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</row>
    <row r="40" spans="1:16" ht="24" customHeight="1">
      <c r="A40" s="343" t="s">
        <v>84</v>
      </c>
      <c r="B40" s="37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98" customFormat="1" ht="16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</sheetData>
  <sheetProtection/>
  <mergeCells count="25">
    <mergeCell ref="O4:P4"/>
    <mergeCell ref="A20:A21"/>
    <mergeCell ref="A6:A7"/>
    <mergeCell ref="A10:A11"/>
    <mergeCell ref="I2:P2"/>
    <mergeCell ref="A3:H3"/>
    <mergeCell ref="A2:H2"/>
    <mergeCell ref="A14:A15"/>
    <mergeCell ref="A40:B40"/>
    <mergeCell ref="A16:A17"/>
    <mergeCell ref="A22:A23"/>
    <mergeCell ref="A12:A13"/>
    <mergeCell ref="A18:A19"/>
    <mergeCell ref="I3:P3"/>
    <mergeCell ref="A8:A9"/>
    <mergeCell ref="A4:B4"/>
    <mergeCell ref="A36:A37"/>
    <mergeCell ref="A34:A35"/>
    <mergeCell ref="A38:A39"/>
    <mergeCell ref="A24:A25"/>
    <mergeCell ref="A28:A29"/>
    <mergeCell ref="A5:B5"/>
    <mergeCell ref="A26:A27"/>
    <mergeCell ref="A32:A33"/>
    <mergeCell ref="A30:A31"/>
  </mergeCells>
  <printOptions horizontalCentered="1"/>
  <pageMargins left="0.3937007874015748" right="0.3937007874015748" top="0.5905511811023623" bottom="0.5511811023622047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41"/>
  <sheetViews>
    <sheetView zoomScalePageLayoutView="0" workbookViewId="0" topLeftCell="A2">
      <pane xSplit="2" ySplit="4" topLeftCell="D30" activePane="bottomRight" state="frozen"/>
      <selection pane="topLeft" activeCell="A2" sqref="A2"/>
      <selection pane="topRight" activeCell="C2" sqref="C2"/>
      <selection pane="bottomLeft" activeCell="A6" sqref="A6"/>
      <selection pane="bottomRight" activeCell="K42" sqref="K42"/>
    </sheetView>
  </sheetViews>
  <sheetFormatPr defaultColWidth="9.00390625" defaultRowHeight="16.5"/>
  <cols>
    <col min="1" max="1" width="11.625" style="1" customWidth="1"/>
    <col min="2" max="2" width="12.00390625" style="10" customWidth="1"/>
    <col min="3" max="6" width="15.625" style="1" customWidth="1"/>
    <col min="7" max="7" width="14.75390625" style="1" customWidth="1"/>
    <col min="8" max="8" width="15.875" style="1" customWidth="1"/>
    <col min="9" max="9" width="14.25390625" style="1" customWidth="1"/>
    <col min="10" max="10" width="15.125" style="1" customWidth="1"/>
    <col min="11" max="11" width="13.375" style="1" customWidth="1"/>
    <col min="12" max="12" width="14.25390625" style="1" customWidth="1"/>
    <col min="13" max="16384" width="9.00390625" style="1" customWidth="1"/>
  </cols>
  <sheetData>
    <row r="1" spans="5:12" ht="16.5">
      <c r="E1" s="413" t="s">
        <v>238</v>
      </c>
      <c r="F1" s="414"/>
      <c r="G1" s="409" t="s">
        <v>312</v>
      </c>
      <c r="H1" s="410"/>
      <c r="K1" s="413"/>
      <c r="L1" s="414"/>
    </row>
    <row r="2" spans="1:109" ht="24" customHeight="1">
      <c r="A2" s="407" t="s">
        <v>160</v>
      </c>
      <c r="B2" s="411"/>
      <c r="C2" s="411"/>
      <c r="D2" s="411"/>
      <c r="E2" s="411"/>
      <c r="F2" s="411"/>
      <c r="G2" s="416" t="s">
        <v>86</v>
      </c>
      <c r="H2" s="416"/>
      <c r="I2" s="416"/>
      <c r="J2" s="416"/>
      <c r="K2" s="416"/>
      <c r="L2" s="416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</row>
    <row r="3" spans="1:109" ht="21.75" customHeight="1">
      <c r="A3" s="395" t="s">
        <v>67</v>
      </c>
      <c r="B3" s="395"/>
      <c r="C3" s="395"/>
      <c r="D3" s="395"/>
      <c r="E3" s="395"/>
      <c r="F3" s="395"/>
      <c r="G3" s="402" t="s">
        <v>0</v>
      </c>
      <c r="H3" s="402"/>
      <c r="I3" s="402"/>
      <c r="J3" s="402"/>
      <c r="K3" s="402"/>
      <c r="L3" s="40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</row>
    <row r="4" spans="1:109" ht="13.5" customHeight="1">
      <c r="A4" s="343" t="s">
        <v>1</v>
      </c>
      <c r="B4" s="412"/>
      <c r="C4" s="62"/>
      <c r="D4" s="62"/>
      <c r="E4" s="62"/>
      <c r="F4" s="62"/>
      <c r="G4" s="63"/>
      <c r="H4" s="63"/>
      <c r="I4" s="63"/>
      <c r="J4" s="64"/>
      <c r="K4" s="347" t="s">
        <v>85</v>
      </c>
      <c r="L4" s="41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</row>
    <row r="5" spans="1:12" s="18" customFormat="1" ht="56.25" customHeight="1">
      <c r="A5" s="418" t="s">
        <v>60</v>
      </c>
      <c r="B5" s="400"/>
      <c r="C5" s="214" t="s">
        <v>49</v>
      </c>
      <c r="D5" s="188" t="s">
        <v>21</v>
      </c>
      <c r="E5" s="188" t="s">
        <v>50</v>
      </c>
      <c r="F5" s="188" t="s">
        <v>51</v>
      </c>
      <c r="G5" s="214" t="s">
        <v>52</v>
      </c>
      <c r="H5" s="188" t="s">
        <v>16</v>
      </c>
      <c r="I5" s="188" t="s">
        <v>53</v>
      </c>
      <c r="J5" s="188" t="s">
        <v>54</v>
      </c>
      <c r="K5" s="215" t="s">
        <v>88</v>
      </c>
      <c r="L5" s="57" t="s">
        <v>89</v>
      </c>
    </row>
    <row r="6" spans="1:12" s="10" customFormat="1" ht="24" customHeight="1">
      <c r="A6" s="419" t="s">
        <v>56</v>
      </c>
      <c r="B6" s="241" t="s">
        <v>24</v>
      </c>
      <c r="C6" s="204">
        <v>3523</v>
      </c>
      <c r="D6" s="205">
        <v>0</v>
      </c>
      <c r="E6" s="205">
        <v>3252</v>
      </c>
      <c r="F6" s="205">
        <v>3452</v>
      </c>
      <c r="G6" s="205">
        <v>0</v>
      </c>
      <c r="H6" s="205">
        <v>0</v>
      </c>
      <c r="I6" s="205">
        <v>0</v>
      </c>
      <c r="J6" s="205">
        <v>0</v>
      </c>
      <c r="K6" s="205">
        <v>110</v>
      </c>
      <c r="L6" s="216">
        <v>2653</v>
      </c>
    </row>
    <row r="7" spans="1:12" s="10" customFormat="1" ht="24" customHeight="1">
      <c r="A7" s="324"/>
      <c r="B7" s="134" t="s">
        <v>25</v>
      </c>
      <c r="C7" s="208">
        <v>3943</v>
      </c>
      <c r="D7" s="145">
        <v>0</v>
      </c>
      <c r="E7" s="145">
        <v>3813</v>
      </c>
      <c r="F7" s="145">
        <v>4972</v>
      </c>
      <c r="G7" s="145">
        <v>0</v>
      </c>
      <c r="H7" s="145">
        <v>0</v>
      </c>
      <c r="I7" s="145">
        <v>0</v>
      </c>
      <c r="J7" s="145">
        <v>0</v>
      </c>
      <c r="K7" s="145">
        <v>347</v>
      </c>
      <c r="L7" s="209">
        <v>2416</v>
      </c>
    </row>
    <row r="8" spans="1:12" s="10" customFormat="1" ht="24" customHeight="1">
      <c r="A8" s="415" t="s">
        <v>57</v>
      </c>
      <c r="B8" s="134" t="s">
        <v>24</v>
      </c>
      <c r="C8" s="208">
        <v>3870</v>
      </c>
      <c r="D8" s="145">
        <v>0</v>
      </c>
      <c r="E8" s="145">
        <v>5820</v>
      </c>
      <c r="F8" s="145">
        <v>4089</v>
      </c>
      <c r="G8" s="145">
        <v>0</v>
      </c>
      <c r="H8" s="145">
        <v>0</v>
      </c>
      <c r="I8" s="145">
        <v>0</v>
      </c>
      <c r="J8" s="145">
        <v>0</v>
      </c>
      <c r="K8" s="145">
        <v>2386</v>
      </c>
      <c r="L8" s="209">
        <v>1903</v>
      </c>
    </row>
    <row r="9" spans="1:12" s="10" customFormat="1" ht="24" customHeight="1">
      <c r="A9" s="324"/>
      <c r="B9" s="134" t="s">
        <v>25</v>
      </c>
      <c r="C9" s="208">
        <v>5301</v>
      </c>
      <c r="D9" s="145">
        <v>0</v>
      </c>
      <c r="E9" s="145">
        <v>6636</v>
      </c>
      <c r="F9" s="145">
        <v>4089</v>
      </c>
      <c r="G9" s="145">
        <v>0</v>
      </c>
      <c r="H9" s="145">
        <v>0</v>
      </c>
      <c r="I9" s="145">
        <v>0</v>
      </c>
      <c r="J9" s="145">
        <v>0</v>
      </c>
      <c r="K9" s="145">
        <v>964</v>
      </c>
      <c r="L9" s="209">
        <v>1403</v>
      </c>
    </row>
    <row r="10" spans="1:12" s="10" customFormat="1" ht="24" customHeight="1">
      <c r="A10" s="415" t="s">
        <v>58</v>
      </c>
      <c r="B10" s="134" t="s">
        <v>24</v>
      </c>
      <c r="C10" s="217">
        <v>3132</v>
      </c>
      <c r="D10" s="146">
        <v>135</v>
      </c>
      <c r="E10" s="146">
        <v>3914</v>
      </c>
      <c r="F10" s="146">
        <v>4977</v>
      </c>
      <c r="G10" s="146">
        <v>0</v>
      </c>
      <c r="H10" s="146">
        <v>0</v>
      </c>
      <c r="I10" s="146">
        <v>0</v>
      </c>
      <c r="J10" s="146">
        <v>0</v>
      </c>
      <c r="K10" s="146">
        <v>1367</v>
      </c>
      <c r="L10" s="210">
        <v>1500</v>
      </c>
    </row>
    <row r="11" spans="1:12" s="10" customFormat="1" ht="24" customHeight="1">
      <c r="A11" s="324"/>
      <c r="B11" s="134" t="s">
        <v>25</v>
      </c>
      <c r="C11" s="217">
        <v>4831</v>
      </c>
      <c r="D11" s="146">
        <v>135</v>
      </c>
      <c r="E11" s="146">
        <v>7143</v>
      </c>
      <c r="F11" s="146">
        <v>4977</v>
      </c>
      <c r="G11" s="146">
        <v>0</v>
      </c>
      <c r="H11" s="146">
        <v>0</v>
      </c>
      <c r="I11" s="146">
        <v>0</v>
      </c>
      <c r="J11" s="146">
        <v>0</v>
      </c>
      <c r="K11" s="146">
        <v>477</v>
      </c>
      <c r="L11" s="210">
        <v>1500</v>
      </c>
    </row>
    <row r="12" spans="1:12" s="10" customFormat="1" ht="24" customHeight="1">
      <c r="A12" s="415" t="s">
        <v>59</v>
      </c>
      <c r="B12" s="140" t="s">
        <v>24</v>
      </c>
      <c r="C12" s="218">
        <v>11078</v>
      </c>
      <c r="D12" s="147">
        <v>195</v>
      </c>
      <c r="E12" s="147">
        <v>3762</v>
      </c>
      <c r="F12" s="147">
        <v>5004</v>
      </c>
      <c r="G12" s="147">
        <v>0</v>
      </c>
      <c r="H12" s="147">
        <v>0</v>
      </c>
      <c r="I12" s="147">
        <v>0</v>
      </c>
      <c r="J12" s="147">
        <v>0</v>
      </c>
      <c r="K12" s="147">
        <v>1210</v>
      </c>
      <c r="L12" s="211">
        <v>1000</v>
      </c>
    </row>
    <row r="13" spans="1:12" s="10" customFormat="1" ht="24" customHeight="1">
      <c r="A13" s="324"/>
      <c r="B13" s="140" t="s">
        <v>25</v>
      </c>
      <c r="C13" s="218">
        <v>12733</v>
      </c>
      <c r="D13" s="147">
        <v>195</v>
      </c>
      <c r="E13" s="147">
        <v>3907</v>
      </c>
      <c r="F13" s="147">
        <v>4454</v>
      </c>
      <c r="G13" s="147">
        <v>0</v>
      </c>
      <c r="H13" s="147">
        <v>0</v>
      </c>
      <c r="I13" s="147">
        <v>0</v>
      </c>
      <c r="J13" s="147">
        <v>0</v>
      </c>
      <c r="K13" s="147">
        <v>1210</v>
      </c>
      <c r="L13" s="211">
        <v>1000</v>
      </c>
    </row>
    <row r="14" spans="1:12" s="10" customFormat="1" ht="24" customHeight="1">
      <c r="A14" s="415" t="s">
        <v>87</v>
      </c>
      <c r="B14" s="140" t="s">
        <v>24</v>
      </c>
      <c r="C14" s="218">
        <v>13269</v>
      </c>
      <c r="D14" s="147">
        <v>205</v>
      </c>
      <c r="E14" s="147">
        <v>4637</v>
      </c>
      <c r="F14" s="147">
        <v>5080</v>
      </c>
      <c r="G14" s="147">
        <v>0</v>
      </c>
      <c r="H14" s="147">
        <v>0</v>
      </c>
      <c r="I14" s="147">
        <v>0</v>
      </c>
      <c r="J14" s="147">
        <v>0</v>
      </c>
      <c r="K14" s="147">
        <v>1492</v>
      </c>
      <c r="L14" s="211">
        <v>1000</v>
      </c>
    </row>
    <row r="15" spans="1:12" s="38" customFormat="1" ht="24" customHeight="1">
      <c r="A15" s="324"/>
      <c r="B15" s="140" t="s">
        <v>25</v>
      </c>
      <c r="C15" s="218">
        <v>13269</v>
      </c>
      <c r="D15" s="147">
        <v>255</v>
      </c>
      <c r="E15" s="147">
        <v>4987</v>
      </c>
      <c r="F15" s="147">
        <v>6423</v>
      </c>
      <c r="G15" s="147">
        <v>0</v>
      </c>
      <c r="H15" s="147">
        <v>0</v>
      </c>
      <c r="I15" s="147">
        <v>0</v>
      </c>
      <c r="J15" s="147">
        <v>0</v>
      </c>
      <c r="K15" s="147">
        <v>1492</v>
      </c>
      <c r="L15" s="211">
        <v>1000</v>
      </c>
    </row>
    <row r="16" spans="1:12" s="133" customFormat="1" ht="24" customHeight="1">
      <c r="A16" s="408" t="s">
        <v>104</v>
      </c>
      <c r="B16" s="140" t="s">
        <v>24</v>
      </c>
      <c r="C16" s="218">
        <v>18447</v>
      </c>
      <c r="D16" s="147">
        <v>210</v>
      </c>
      <c r="E16" s="147">
        <v>5304</v>
      </c>
      <c r="F16" s="147">
        <v>5580</v>
      </c>
      <c r="G16" s="147">
        <v>0</v>
      </c>
      <c r="H16" s="147">
        <v>0</v>
      </c>
      <c r="I16" s="147">
        <v>0</v>
      </c>
      <c r="J16" s="147">
        <v>0</v>
      </c>
      <c r="K16" s="147">
        <v>1700</v>
      </c>
      <c r="L16" s="211">
        <v>360</v>
      </c>
    </row>
    <row r="17" spans="1:12" s="148" customFormat="1" ht="24" customHeight="1">
      <c r="A17" s="399"/>
      <c r="B17" s="140" t="s">
        <v>25</v>
      </c>
      <c r="C17" s="218">
        <v>18857</v>
      </c>
      <c r="D17" s="147">
        <v>210</v>
      </c>
      <c r="E17" s="147">
        <v>5107</v>
      </c>
      <c r="F17" s="147">
        <v>5580</v>
      </c>
      <c r="G17" s="147">
        <v>0</v>
      </c>
      <c r="H17" s="147">
        <v>0</v>
      </c>
      <c r="I17" s="147">
        <v>0</v>
      </c>
      <c r="J17" s="147">
        <v>0</v>
      </c>
      <c r="K17" s="147">
        <v>1525</v>
      </c>
      <c r="L17" s="211">
        <v>360</v>
      </c>
    </row>
    <row r="18" spans="1:12" s="133" customFormat="1" ht="24" customHeight="1">
      <c r="A18" s="408" t="s">
        <v>166</v>
      </c>
      <c r="B18" s="140" t="s">
        <v>24</v>
      </c>
      <c r="C18" s="218">
        <v>14225</v>
      </c>
      <c r="D18" s="147">
        <v>210</v>
      </c>
      <c r="E18" s="147">
        <v>4456</v>
      </c>
      <c r="F18" s="147">
        <v>6180</v>
      </c>
      <c r="G18" s="147">
        <v>0</v>
      </c>
      <c r="H18" s="147">
        <v>0</v>
      </c>
      <c r="I18" s="147">
        <v>0</v>
      </c>
      <c r="J18" s="147">
        <v>0</v>
      </c>
      <c r="K18" s="147">
        <v>1900</v>
      </c>
      <c r="L18" s="211">
        <v>377</v>
      </c>
    </row>
    <row r="19" spans="1:12" s="148" customFormat="1" ht="24" customHeight="1">
      <c r="A19" s="399"/>
      <c r="B19" s="140" t="s">
        <v>25</v>
      </c>
      <c r="C19" s="218">
        <v>15350</v>
      </c>
      <c r="D19" s="147">
        <v>210</v>
      </c>
      <c r="E19" s="147">
        <v>4451</v>
      </c>
      <c r="F19" s="147">
        <v>6180</v>
      </c>
      <c r="G19" s="147">
        <v>0</v>
      </c>
      <c r="H19" s="147">
        <v>0</v>
      </c>
      <c r="I19" s="147">
        <v>0</v>
      </c>
      <c r="J19" s="147">
        <v>0</v>
      </c>
      <c r="K19" s="147">
        <v>1415</v>
      </c>
      <c r="L19" s="211">
        <v>497</v>
      </c>
    </row>
    <row r="20" spans="1:12" s="148" customFormat="1" ht="24" customHeight="1">
      <c r="A20" s="408" t="s">
        <v>172</v>
      </c>
      <c r="B20" s="140" t="s">
        <v>24</v>
      </c>
      <c r="C20" s="218">
        <v>12842</v>
      </c>
      <c r="D20" s="147">
        <v>210</v>
      </c>
      <c r="E20" s="147">
        <v>4742</v>
      </c>
      <c r="F20" s="147">
        <v>6180</v>
      </c>
      <c r="G20" s="147">
        <v>0</v>
      </c>
      <c r="H20" s="147">
        <v>0</v>
      </c>
      <c r="I20" s="147">
        <v>0</v>
      </c>
      <c r="J20" s="147">
        <v>0</v>
      </c>
      <c r="K20" s="147">
        <v>1400</v>
      </c>
      <c r="L20" s="211">
        <v>377</v>
      </c>
    </row>
    <row r="21" spans="1:12" s="148" customFormat="1" ht="24" customHeight="1">
      <c r="A21" s="399"/>
      <c r="B21" s="140" t="s">
        <v>25</v>
      </c>
      <c r="C21" s="218">
        <v>13342</v>
      </c>
      <c r="D21" s="147">
        <v>210</v>
      </c>
      <c r="E21" s="147">
        <v>5806</v>
      </c>
      <c r="F21" s="147">
        <v>6180</v>
      </c>
      <c r="G21" s="147">
        <v>0</v>
      </c>
      <c r="H21" s="147">
        <v>0</v>
      </c>
      <c r="I21" s="147">
        <v>0</v>
      </c>
      <c r="J21" s="147">
        <v>0</v>
      </c>
      <c r="K21" s="147">
        <v>1400</v>
      </c>
      <c r="L21" s="211">
        <v>497</v>
      </c>
    </row>
    <row r="22" spans="1:12" s="148" customFormat="1" ht="24" customHeight="1">
      <c r="A22" s="408" t="s">
        <v>176</v>
      </c>
      <c r="B22" s="140" t="s">
        <v>24</v>
      </c>
      <c r="C22" s="218">
        <f>12157+0</f>
        <v>12157</v>
      </c>
      <c r="D22" s="147">
        <f>210</f>
        <v>210</v>
      </c>
      <c r="E22" s="147">
        <f>6029+0</f>
        <v>6029</v>
      </c>
      <c r="F22" s="147">
        <f>4880</f>
        <v>4880</v>
      </c>
      <c r="G22" s="147">
        <v>0</v>
      </c>
      <c r="H22" s="147">
        <v>0</v>
      </c>
      <c r="I22" s="147">
        <v>0</v>
      </c>
      <c r="J22" s="147">
        <v>0</v>
      </c>
      <c r="K22" s="147">
        <v>300</v>
      </c>
      <c r="L22" s="211">
        <f>485+1400</f>
        <v>1885</v>
      </c>
    </row>
    <row r="23" spans="1:12" s="148" customFormat="1" ht="24" customHeight="1">
      <c r="A23" s="399"/>
      <c r="B23" s="140" t="s">
        <v>25</v>
      </c>
      <c r="C23" s="218">
        <v>12582</v>
      </c>
      <c r="D23" s="147">
        <v>210</v>
      </c>
      <c r="E23" s="147">
        <v>6169</v>
      </c>
      <c r="F23" s="147">
        <v>5460</v>
      </c>
      <c r="G23" s="147">
        <v>0</v>
      </c>
      <c r="H23" s="147">
        <v>0</v>
      </c>
      <c r="I23" s="147">
        <v>0</v>
      </c>
      <c r="J23" s="147">
        <v>0</v>
      </c>
      <c r="K23" s="147">
        <v>300</v>
      </c>
      <c r="L23" s="211">
        <f>485+1400</f>
        <v>1885</v>
      </c>
    </row>
    <row r="24" spans="1:12" s="148" customFormat="1" ht="24" customHeight="1">
      <c r="A24" s="408" t="s">
        <v>180</v>
      </c>
      <c r="B24" s="140" t="s">
        <v>24</v>
      </c>
      <c r="C24" s="218">
        <v>11673</v>
      </c>
      <c r="D24" s="147">
        <f>210</f>
        <v>210</v>
      </c>
      <c r="E24" s="147">
        <v>9219</v>
      </c>
      <c r="F24" s="147">
        <v>5860</v>
      </c>
      <c r="G24" s="147">
        <v>0</v>
      </c>
      <c r="H24" s="147">
        <v>0</v>
      </c>
      <c r="I24" s="147">
        <v>0</v>
      </c>
      <c r="J24" s="147">
        <v>0</v>
      </c>
      <c r="K24" s="147">
        <v>300</v>
      </c>
      <c r="L24" s="211">
        <v>1840</v>
      </c>
    </row>
    <row r="25" spans="1:12" s="148" customFormat="1" ht="24" customHeight="1">
      <c r="A25" s="399"/>
      <c r="B25" s="140" t="s">
        <v>25</v>
      </c>
      <c r="C25" s="218">
        <v>11873</v>
      </c>
      <c r="D25" s="147">
        <v>210</v>
      </c>
      <c r="E25" s="147">
        <v>6785</v>
      </c>
      <c r="F25" s="147">
        <v>6830</v>
      </c>
      <c r="G25" s="147">
        <v>0</v>
      </c>
      <c r="H25" s="147">
        <v>0</v>
      </c>
      <c r="I25" s="147">
        <v>0</v>
      </c>
      <c r="J25" s="147">
        <v>0</v>
      </c>
      <c r="K25" s="147">
        <v>300</v>
      </c>
      <c r="L25" s="211">
        <v>1840</v>
      </c>
    </row>
    <row r="26" spans="1:12" s="148" customFormat="1" ht="24" customHeight="1">
      <c r="A26" s="408" t="s">
        <v>330</v>
      </c>
      <c r="B26" s="140" t="s">
        <v>24</v>
      </c>
      <c r="C26" s="218">
        <v>12426</v>
      </c>
      <c r="D26" s="147">
        <v>200</v>
      </c>
      <c r="E26" s="147">
        <v>10269</v>
      </c>
      <c r="F26" s="147">
        <v>5860</v>
      </c>
      <c r="G26" s="147">
        <v>0</v>
      </c>
      <c r="H26" s="147">
        <v>0</v>
      </c>
      <c r="I26" s="147">
        <v>0</v>
      </c>
      <c r="J26" s="147">
        <v>0</v>
      </c>
      <c r="K26" s="147">
        <v>400</v>
      </c>
      <c r="L26" s="211">
        <v>2000</v>
      </c>
    </row>
    <row r="27" spans="1:12" s="148" customFormat="1" ht="24" customHeight="1">
      <c r="A27" s="399"/>
      <c r="B27" s="140" t="s">
        <v>25</v>
      </c>
      <c r="C27" s="218">
        <v>14279</v>
      </c>
      <c r="D27" s="147">
        <v>200</v>
      </c>
      <c r="E27" s="147">
        <v>7469</v>
      </c>
      <c r="F27" s="147">
        <v>8630</v>
      </c>
      <c r="G27" s="147">
        <v>0</v>
      </c>
      <c r="H27" s="147">
        <v>0</v>
      </c>
      <c r="I27" s="147">
        <v>0</v>
      </c>
      <c r="J27" s="147">
        <v>0</v>
      </c>
      <c r="K27" s="147">
        <v>400</v>
      </c>
      <c r="L27" s="211">
        <v>2274</v>
      </c>
    </row>
    <row r="28" spans="1:12" s="148" customFormat="1" ht="24" customHeight="1">
      <c r="A28" s="408" t="s">
        <v>331</v>
      </c>
      <c r="B28" s="140" t="s">
        <v>24</v>
      </c>
      <c r="C28" s="218">
        <f>13818+1200</f>
        <v>15018</v>
      </c>
      <c r="D28" s="147">
        <v>210</v>
      </c>
      <c r="E28" s="147">
        <f>8384+800</f>
        <v>9184</v>
      </c>
      <c r="F28" s="147">
        <v>7647</v>
      </c>
      <c r="G28" s="147">
        <v>0</v>
      </c>
      <c r="H28" s="147">
        <v>0</v>
      </c>
      <c r="I28" s="147">
        <v>0</v>
      </c>
      <c r="J28" s="147">
        <v>0</v>
      </c>
      <c r="K28" s="147">
        <v>1531</v>
      </c>
      <c r="L28" s="211">
        <f>700+1600</f>
        <v>2300</v>
      </c>
    </row>
    <row r="29" spans="1:12" s="148" customFormat="1" ht="24" customHeight="1">
      <c r="A29" s="399"/>
      <c r="B29" s="140" t="s">
        <v>25</v>
      </c>
      <c r="C29" s="218">
        <f>14038+1200</f>
        <v>15238</v>
      </c>
      <c r="D29" s="147">
        <v>210</v>
      </c>
      <c r="E29" s="147">
        <f>8573+1100</f>
        <v>9673</v>
      </c>
      <c r="F29" s="147">
        <v>7728</v>
      </c>
      <c r="G29" s="147">
        <v>0</v>
      </c>
      <c r="H29" s="147">
        <v>0</v>
      </c>
      <c r="I29" s="147">
        <v>0</v>
      </c>
      <c r="J29" s="147">
        <v>0</v>
      </c>
      <c r="K29" s="147">
        <v>1531</v>
      </c>
      <c r="L29" s="211">
        <f>700+1600</f>
        <v>2300</v>
      </c>
    </row>
    <row r="30" spans="1:12" s="148" customFormat="1" ht="24" customHeight="1">
      <c r="A30" s="408" t="s">
        <v>332</v>
      </c>
      <c r="B30" s="140" t="s">
        <v>24</v>
      </c>
      <c r="C30" s="218">
        <v>9143</v>
      </c>
      <c r="D30" s="147">
        <v>210</v>
      </c>
      <c r="E30" s="147">
        <f>8714+200</f>
        <v>8914</v>
      </c>
      <c r="F30" s="147">
        <v>7905</v>
      </c>
      <c r="G30" s="147">
        <v>0</v>
      </c>
      <c r="H30" s="147">
        <v>0</v>
      </c>
      <c r="I30" s="147">
        <v>0</v>
      </c>
      <c r="J30" s="147">
        <v>0</v>
      </c>
      <c r="K30" s="147">
        <v>1531</v>
      </c>
      <c r="L30" s="211">
        <f>800+1600</f>
        <v>2400</v>
      </c>
    </row>
    <row r="31" spans="1:12" s="148" customFormat="1" ht="24" customHeight="1">
      <c r="A31" s="399"/>
      <c r="B31" s="140" t="s">
        <v>25</v>
      </c>
      <c r="C31" s="218">
        <v>9293</v>
      </c>
      <c r="D31" s="147">
        <v>210</v>
      </c>
      <c r="E31" s="147">
        <f>8714+200</f>
        <v>8914</v>
      </c>
      <c r="F31" s="147">
        <v>7905</v>
      </c>
      <c r="G31" s="147">
        <v>0</v>
      </c>
      <c r="H31" s="147">
        <v>0</v>
      </c>
      <c r="I31" s="147">
        <v>0</v>
      </c>
      <c r="J31" s="147">
        <v>0</v>
      </c>
      <c r="K31" s="147">
        <v>1531</v>
      </c>
      <c r="L31" s="211">
        <f>800+1600</f>
        <v>2400</v>
      </c>
    </row>
    <row r="32" spans="1:12" s="148" customFormat="1" ht="24" customHeight="1">
      <c r="A32" s="408" t="s">
        <v>339</v>
      </c>
      <c r="B32" s="140" t="s">
        <v>24</v>
      </c>
      <c r="C32" s="218">
        <v>9430</v>
      </c>
      <c r="D32" s="147">
        <v>280</v>
      </c>
      <c r="E32" s="147">
        <f>8119+363</f>
        <v>8482</v>
      </c>
      <c r="F32" s="147">
        <v>8099</v>
      </c>
      <c r="G32" s="147">
        <v>0</v>
      </c>
      <c r="H32" s="147">
        <v>0</v>
      </c>
      <c r="I32" s="147">
        <v>0</v>
      </c>
      <c r="J32" s="147">
        <v>0</v>
      </c>
      <c r="K32" s="147">
        <v>3000</v>
      </c>
      <c r="L32" s="211">
        <f>450+1900</f>
        <v>2350</v>
      </c>
    </row>
    <row r="33" spans="1:12" s="148" customFormat="1" ht="24" customHeight="1">
      <c r="A33" s="399"/>
      <c r="B33" s="140" t="s">
        <v>25</v>
      </c>
      <c r="C33" s="218">
        <v>9520</v>
      </c>
      <c r="D33" s="147">
        <v>280</v>
      </c>
      <c r="E33" s="147">
        <f>8254+363</f>
        <v>8617</v>
      </c>
      <c r="F33" s="147">
        <v>8099</v>
      </c>
      <c r="G33" s="147">
        <v>0</v>
      </c>
      <c r="H33" s="147">
        <v>0</v>
      </c>
      <c r="I33" s="147">
        <v>0</v>
      </c>
      <c r="J33" s="147">
        <v>0</v>
      </c>
      <c r="K33" s="147">
        <v>314</v>
      </c>
      <c r="L33" s="211">
        <f>788+2836</f>
        <v>3624</v>
      </c>
    </row>
    <row r="34" spans="1:12" s="148" customFormat="1" ht="24" customHeight="1">
      <c r="A34" s="408" t="s">
        <v>350</v>
      </c>
      <c r="B34" s="140" t="s">
        <v>24</v>
      </c>
      <c r="C34" s="218">
        <v>14755</v>
      </c>
      <c r="D34" s="147">
        <v>280</v>
      </c>
      <c r="E34" s="147">
        <v>9676</v>
      </c>
      <c r="F34" s="147">
        <v>9901</v>
      </c>
      <c r="G34" s="147">
        <v>0</v>
      </c>
      <c r="H34" s="147">
        <v>0</v>
      </c>
      <c r="I34" s="147">
        <v>0</v>
      </c>
      <c r="J34" s="147">
        <v>0</v>
      </c>
      <c r="K34" s="147">
        <v>3000</v>
      </c>
      <c r="L34" s="211">
        <v>2410</v>
      </c>
    </row>
    <row r="35" spans="1:12" s="148" customFormat="1" ht="24" customHeight="1">
      <c r="A35" s="399"/>
      <c r="B35" s="140" t="s">
        <v>25</v>
      </c>
      <c r="C35" s="218">
        <v>16975</v>
      </c>
      <c r="D35" s="147">
        <v>280</v>
      </c>
      <c r="E35" s="147">
        <v>9726</v>
      </c>
      <c r="F35" s="147">
        <v>9901</v>
      </c>
      <c r="G35" s="147">
        <v>0</v>
      </c>
      <c r="H35" s="147">
        <v>0</v>
      </c>
      <c r="I35" s="147">
        <v>0</v>
      </c>
      <c r="J35" s="147">
        <v>0</v>
      </c>
      <c r="K35" s="147">
        <v>3000</v>
      </c>
      <c r="L35" s="211">
        <v>2410</v>
      </c>
    </row>
    <row r="36" spans="1:12" s="148" customFormat="1" ht="24" customHeight="1">
      <c r="A36" s="408" t="s">
        <v>358</v>
      </c>
      <c r="B36" s="140" t="s">
        <v>24</v>
      </c>
      <c r="C36" s="218">
        <v>10116</v>
      </c>
      <c r="D36" s="147">
        <v>139</v>
      </c>
      <c r="E36" s="147">
        <v>6954</v>
      </c>
      <c r="F36" s="147">
        <v>10351</v>
      </c>
      <c r="G36" s="147">
        <v>0</v>
      </c>
      <c r="H36" s="147">
        <v>0</v>
      </c>
      <c r="I36" s="147">
        <v>0</v>
      </c>
      <c r="J36" s="147">
        <v>0</v>
      </c>
      <c r="K36" s="147">
        <v>3000</v>
      </c>
      <c r="L36" s="211">
        <v>2035</v>
      </c>
    </row>
    <row r="37" spans="1:12" s="148" customFormat="1" ht="24" customHeight="1">
      <c r="A37" s="399"/>
      <c r="B37" s="140" t="s">
        <v>25</v>
      </c>
      <c r="C37" s="218">
        <v>10166</v>
      </c>
      <c r="D37" s="147">
        <v>139</v>
      </c>
      <c r="E37" s="147">
        <v>7044</v>
      </c>
      <c r="F37" s="147">
        <v>10351</v>
      </c>
      <c r="G37" s="147">
        <v>0</v>
      </c>
      <c r="H37" s="147">
        <v>0</v>
      </c>
      <c r="I37" s="147">
        <v>0</v>
      </c>
      <c r="J37" s="147">
        <v>0</v>
      </c>
      <c r="K37" s="147">
        <v>3000</v>
      </c>
      <c r="L37" s="211">
        <v>2035</v>
      </c>
    </row>
    <row r="38" spans="1:12" s="148" customFormat="1" ht="24" customHeight="1">
      <c r="A38" s="408" t="s">
        <v>370</v>
      </c>
      <c r="B38" s="140" t="s">
        <v>24</v>
      </c>
      <c r="C38" s="218">
        <v>11709</v>
      </c>
      <c r="D38" s="147">
        <v>154</v>
      </c>
      <c r="E38" s="147">
        <v>7309</v>
      </c>
      <c r="F38" s="147">
        <v>9043</v>
      </c>
      <c r="G38" s="147">
        <v>0</v>
      </c>
      <c r="H38" s="147">
        <v>0</v>
      </c>
      <c r="I38" s="147">
        <v>0</v>
      </c>
      <c r="J38" s="147">
        <v>0</v>
      </c>
      <c r="K38" s="147">
        <v>3000</v>
      </c>
      <c r="L38" s="211">
        <v>1775</v>
      </c>
    </row>
    <row r="39" spans="1:12" s="148" customFormat="1" ht="24" customHeight="1">
      <c r="A39" s="398"/>
      <c r="B39" s="255" t="s">
        <v>25</v>
      </c>
      <c r="C39" s="263">
        <v>12520</v>
      </c>
      <c r="D39" s="149">
        <v>154</v>
      </c>
      <c r="E39" s="149">
        <v>7439</v>
      </c>
      <c r="F39" s="149">
        <v>9043</v>
      </c>
      <c r="G39" s="149">
        <v>0</v>
      </c>
      <c r="H39" s="149">
        <v>0</v>
      </c>
      <c r="I39" s="149">
        <v>0</v>
      </c>
      <c r="J39" s="149">
        <v>0</v>
      </c>
      <c r="K39" s="149">
        <v>3000</v>
      </c>
      <c r="L39" s="213">
        <v>1775</v>
      </c>
    </row>
    <row r="40" spans="1:38" ht="24" customHeight="1">
      <c r="A40" s="376" t="s">
        <v>48</v>
      </c>
      <c r="B40" s="376"/>
      <c r="C40" s="376"/>
      <c r="D40" s="42"/>
      <c r="E40" s="42"/>
      <c r="F40" s="42"/>
      <c r="G40" s="40"/>
      <c r="H40" s="40"/>
      <c r="I40" s="40"/>
      <c r="J40" s="43"/>
      <c r="K40" s="17"/>
      <c r="L40" s="17"/>
      <c r="M40" s="4"/>
      <c r="N40" s="4"/>
      <c r="O40" s="4"/>
      <c r="P40" s="4"/>
      <c r="Q40" s="4"/>
      <c r="R40" s="4"/>
      <c r="S40" s="4"/>
      <c r="T40" s="4"/>
      <c r="U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="95" customFormat="1" ht="21.75" customHeight="1">
      <c r="B41" s="96"/>
    </row>
    <row r="42" ht="21.75" customHeight="1"/>
    <row r="43" ht="21.75" customHeight="1"/>
  </sheetData>
  <sheetProtection/>
  <mergeCells count="28">
    <mergeCell ref="A40:C40"/>
    <mergeCell ref="A5:B5"/>
    <mergeCell ref="A24:A25"/>
    <mergeCell ref="A14:A15"/>
    <mergeCell ref="A6:A7"/>
    <mergeCell ref="A12:A13"/>
    <mergeCell ref="A28:A29"/>
    <mergeCell ref="A30:A31"/>
    <mergeCell ref="A32:A33"/>
    <mergeCell ref="A34:A35"/>
    <mergeCell ref="K1:L1"/>
    <mergeCell ref="E1:F1"/>
    <mergeCell ref="A8:A9"/>
    <mergeCell ref="A18:A19"/>
    <mergeCell ref="G2:L2"/>
    <mergeCell ref="A26:A27"/>
    <mergeCell ref="G3:L3"/>
    <mergeCell ref="K4:L4"/>
    <mergeCell ref="A10:A11"/>
    <mergeCell ref="A22:A23"/>
    <mergeCell ref="A38:A39"/>
    <mergeCell ref="A36:A37"/>
    <mergeCell ref="G1:H1"/>
    <mergeCell ref="A2:F2"/>
    <mergeCell ref="A3:F3"/>
    <mergeCell ref="A4:B4"/>
    <mergeCell ref="A16:A17"/>
    <mergeCell ref="A20:A2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C1">
      <pane ySplit="14" topLeftCell="A18" activePane="bottomLeft" state="frozen"/>
      <selection pane="topLeft" activeCell="A1" sqref="A1"/>
      <selection pane="bottomLeft" activeCell="M26" sqref="M26"/>
    </sheetView>
  </sheetViews>
  <sheetFormatPr defaultColWidth="9.00390625" defaultRowHeight="16.5"/>
  <cols>
    <col min="1" max="1" width="11.25390625" style="1" customWidth="1"/>
    <col min="2" max="2" width="11.125" style="1" customWidth="1"/>
    <col min="3" max="3" width="11.625" style="1" customWidth="1"/>
    <col min="4" max="8" width="11.125" style="1" customWidth="1"/>
    <col min="9" max="10" width="12.75390625" style="1" customWidth="1"/>
    <col min="11" max="11" width="14.25390625" style="1" bestFit="1" customWidth="1"/>
    <col min="12" max="15" width="12.75390625" style="1" customWidth="1"/>
    <col min="16" max="18" width="9.625" style="1" customWidth="1"/>
    <col min="19" max="16384" width="9.00390625" style="1" customWidth="1"/>
  </cols>
  <sheetData>
    <row r="1" spans="1:15" s="32" customFormat="1" ht="17.25" customHeight="1">
      <c r="A1" s="123"/>
      <c r="H1" s="123" t="s">
        <v>313</v>
      </c>
      <c r="I1" s="122" t="s">
        <v>314</v>
      </c>
      <c r="O1" s="122" t="s">
        <v>310</v>
      </c>
    </row>
    <row r="2" spans="1:37" s="18" customFormat="1" ht="25.5">
      <c r="A2" s="420" t="s">
        <v>161</v>
      </c>
      <c r="B2" s="421"/>
      <c r="C2" s="421"/>
      <c r="D2" s="421"/>
      <c r="E2" s="421"/>
      <c r="F2" s="421"/>
      <c r="G2" s="421"/>
      <c r="H2" s="421"/>
      <c r="I2" s="416" t="s">
        <v>162</v>
      </c>
      <c r="J2" s="416"/>
      <c r="K2" s="416"/>
      <c r="L2" s="416"/>
      <c r="M2" s="416"/>
      <c r="N2" s="416"/>
      <c r="O2" s="416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</row>
    <row r="3" spans="1:37" ht="21">
      <c r="A3" s="406" t="s">
        <v>68</v>
      </c>
      <c r="B3" s="406"/>
      <c r="C3" s="406"/>
      <c r="D3" s="406"/>
      <c r="E3" s="406"/>
      <c r="F3" s="406"/>
      <c r="G3" s="406"/>
      <c r="H3" s="406"/>
      <c r="I3" s="402" t="s">
        <v>27</v>
      </c>
      <c r="J3" s="402"/>
      <c r="K3" s="402"/>
      <c r="L3" s="402"/>
      <c r="M3" s="402"/>
      <c r="N3" s="402"/>
      <c r="O3" s="402"/>
      <c r="P3" s="14"/>
      <c r="Q3" s="1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6.5" customHeight="1">
      <c r="A4" s="343" t="s">
        <v>1</v>
      </c>
      <c r="B4" s="344"/>
      <c r="C4" s="38"/>
      <c r="D4" s="38"/>
      <c r="E4" s="38"/>
      <c r="F4" s="12"/>
      <c r="G4" s="9"/>
      <c r="H4" s="12"/>
      <c r="I4" s="3"/>
      <c r="J4" s="3"/>
      <c r="K4" s="3"/>
      <c r="L4" s="3"/>
      <c r="M4" s="18"/>
      <c r="N4" s="347" t="s">
        <v>85</v>
      </c>
      <c r="O4" s="422"/>
      <c r="P4" s="16"/>
      <c r="Q4" s="1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6" s="18" customFormat="1" ht="56.25" customHeight="1">
      <c r="A5" s="58" t="s">
        <v>61</v>
      </c>
      <c r="B5" s="58" t="s">
        <v>62</v>
      </c>
      <c r="C5" s="57" t="s">
        <v>364</v>
      </c>
      <c r="D5" s="57" t="s">
        <v>63</v>
      </c>
      <c r="E5" s="57" t="s">
        <v>90</v>
      </c>
      <c r="F5" s="57" t="s">
        <v>17</v>
      </c>
      <c r="G5" s="57" t="s">
        <v>41</v>
      </c>
      <c r="H5" s="57" t="s">
        <v>18</v>
      </c>
      <c r="I5" s="58" t="s">
        <v>43</v>
      </c>
      <c r="J5" s="58" t="s">
        <v>19</v>
      </c>
      <c r="K5" s="57" t="s">
        <v>64</v>
      </c>
      <c r="L5" s="57" t="s">
        <v>20</v>
      </c>
      <c r="M5" s="57" t="s">
        <v>65</v>
      </c>
      <c r="N5" s="59" t="s">
        <v>49</v>
      </c>
      <c r="O5" s="57" t="s">
        <v>21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</row>
    <row r="6" spans="1:36" s="102" customFormat="1" ht="41.25" customHeight="1" hidden="1">
      <c r="A6" s="47" t="s">
        <v>153</v>
      </c>
      <c r="B6" s="99">
        <f>SUM(C6:O6,'6-3-3鄉決出續'!B7:F7)</f>
        <v>142372</v>
      </c>
      <c r="C6" s="99">
        <v>11924</v>
      </c>
      <c r="D6" s="99">
        <v>40069</v>
      </c>
      <c r="E6" s="99">
        <v>2815</v>
      </c>
      <c r="F6" s="99">
        <v>168</v>
      </c>
      <c r="G6" s="99">
        <v>147</v>
      </c>
      <c r="H6" s="100">
        <v>971</v>
      </c>
      <c r="I6" s="100">
        <v>464</v>
      </c>
      <c r="J6" s="100">
        <v>0</v>
      </c>
      <c r="K6" s="100">
        <v>73930</v>
      </c>
      <c r="L6" s="100">
        <v>0</v>
      </c>
      <c r="M6" s="100">
        <v>162</v>
      </c>
      <c r="N6" s="100">
        <v>3035</v>
      </c>
      <c r="O6" s="100">
        <v>0</v>
      </c>
      <c r="P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</row>
    <row r="7" spans="1:36" s="102" customFormat="1" ht="41.25" customHeight="1" hidden="1">
      <c r="A7" s="47" t="s">
        <v>154</v>
      </c>
      <c r="B7" s="99">
        <f>SUM(C7:O7,'6-3-3鄉決出續'!B8:F8)</f>
        <v>133899</v>
      </c>
      <c r="C7" s="99">
        <v>12839</v>
      </c>
      <c r="D7" s="99">
        <v>40504</v>
      </c>
      <c r="E7" s="99">
        <v>2419</v>
      </c>
      <c r="F7" s="99">
        <v>256</v>
      </c>
      <c r="G7" s="99">
        <v>150</v>
      </c>
      <c r="H7" s="100">
        <v>952</v>
      </c>
      <c r="I7" s="100">
        <v>827</v>
      </c>
      <c r="J7" s="100">
        <v>0</v>
      </c>
      <c r="K7" s="100">
        <v>58865</v>
      </c>
      <c r="L7" s="100">
        <v>0</v>
      </c>
      <c r="M7" s="100">
        <v>312</v>
      </c>
      <c r="N7" s="100">
        <v>4947</v>
      </c>
      <c r="O7" s="100">
        <v>0</v>
      </c>
      <c r="P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</row>
    <row r="8" spans="1:36" s="102" customFormat="1" ht="41.25" customHeight="1" hidden="1">
      <c r="A8" s="47" t="s">
        <v>155</v>
      </c>
      <c r="B8" s="99">
        <f>SUM(C8:O8,'6-3-3鄉決出續'!B9:F9)</f>
        <v>117750</v>
      </c>
      <c r="C8" s="99">
        <v>13598</v>
      </c>
      <c r="D8" s="99">
        <v>43473</v>
      </c>
      <c r="E8" s="99">
        <v>5827</v>
      </c>
      <c r="F8" s="99">
        <v>152</v>
      </c>
      <c r="G8" s="99">
        <v>195</v>
      </c>
      <c r="H8" s="100">
        <v>2747</v>
      </c>
      <c r="I8" s="100">
        <v>1100</v>
      </c>
      <c r="J8" s="100">
        <v>0</v>
      </c>
      <c r="K8" s="100">
        <v>32693</v>
      </c>
      <c r="L8" s="100">
        <v>0</v>
      </c>
      <c r="M8" s="103">
        <v>322</v>
      </c>
      <c r="N8" s="100">
        <v>4947</v>
      </c>
      <c r="O8" s="100">
        <v>0</v>
      </c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</row>
    <row r="9" spans="1:36" s="102" customFormat="1" ht="41.25" customHeight="1" hidden="1">
      <c r="A9" s="47" t="s">
        <v>156</v>
      </c>
      <c r="B9" s="99">
        <f>SUM(C9:O9,'6-3-3鄉決出續'!B10:F10)</f>
        <v>79310</v>
      </c>
      <c r="C9" s="104">
        <v>14619</v>
      </c>
      <c r="D9" s="104">
        <v>17177</v>
      </c>
      <c r="E9" s="104">
        <v>11352</v>
      </c>
      <c r="F9" s="104">
        <v>1424</v>
      </c>
      <c r="G9" s="104">
        <v>230</v>
      </c>
      <c r="H9" s="105">
        <v>6814</v>
      </c>
      <c r="I9" s="105">
        <v>3255</v>
      </c>
      <c r="J9" s="106">
        <v>0</v>
      </c>
      <c r="K9" s="105">
        <v>3140</v>
      </c>
      <c r="L9" s="106">
        <v>0</v>
      </c>
      <c r="M9" s="105">
        <v>351</v>
      </c>
      <c r="N9" s="106">
        <v>11928</v>
      </c>
      <c r="O9" s="105">
        <v>116</v>
      </c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</row>
    <row r="10" spans="1:36" s="102" customFormat="1" ht="41.25" customHeight="1" hidden="1">
      <c r="A10" s="107" t="s">
        <v>157</v>
      </c>
      <c r="B10" s="108">
        <f>SUM(C10:O10,'6-3-3鄉決出續'!B11:F11)</f>
        <v>121290</v>
      </c>
      <c r="C10" s="104">
        <v>14406</v>
      </c>
      <c r="D10" s="104">
        <v>18871</v>
      </c>
      <c r="E10" s="104">
        <v>14048</v>
      </c>
      <c r="F10" s="104">
        <v>1091</v>
      </c>
      <c r="G10" s="104">
        <v>456</v>
      </c>
      <c r="H10" s="105">
        <v>9109</v>
      </c>
      <c r="I10" s="105">
        <v>3110</v>
      </c>
      <c r="J10" s="106">
        <v>0</v>
      </c>
      <c r="K10" s="105">
        <v>36901</v>
      </c>
      <c r="L10" s="106">
        <v>0</v>
      </c>
      <c r="M10" s="105">
        <v>295</v>
      </c>
      <c r="N10" s="106">
        <v>11924</v>
      </c>
      <c r="O10" s="105">
        <v>189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</row>
    <row r="11" spans="1:36" s="112" customFormat="1" ht="41.25" customHeight="1" hidden="1">
      <c r="A11" s="107" t="s">
        <v>158</v>
      </c>
      <c r="B11" s="108">
        <f>SUM(C11:O11,'6-3-3鄉決出續'!B11:F11)</f>
        <v>132351</v>
      </c>
      <c r="C11" s="104">
        <v>13841</v>
      </c>
      <c r="D11" s="104">
        <v>15640</v>
      </c>
      <c r="E11" s="104">
        <v>12343</v>
      </c>
      <c r="F11" s="104">
        <v>1066</v>
      </c>
      <c r="G11" s="104">
        <v>394</v>
      </c>
      <c r="H11" s="105">
        <v>10306</v>
      </c>
      <c r="I11" s="105">
        <v>2711</v>
      </c>
      <c r="J11" s="106">
        <v>0</v>
      </c>
      <c r="K11" s="105">
        <v>48746</v>
      </c>
      <c r="L11" s="106">
        <v>0</v>
      </c>
      <c r="M11" s="105">
        <v>769</v>
      </c>
      <c r="N11" s="106">
        <v>15525</v>
      </c>
      <c r="O11" s="105">
        <v>120</v>
      </c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</row>
    <row r="12" spans="1:36" s="112" customFormat="1" ht="41.25" customHeight="1" hidden="1">
      <c r="A12" s="107" t="s">
        <v>167</v>
      </c>
      <c r="B12" s="108">
        <f>SUM(C12:O12,'6-3-3鄉決出續'!B12:F12)</f>
        <v>161422</v>
      </c>
      <c r="C12" s="104">
        <v>13316</v>
      </c>
      <c r="D12" s="104">
        <v>14988</v>
      </c>
      <c r="E12" s="104">
        <v>12125</v>
      </c>
      <c r="F12" s="104">
        <v>1449</v>
      </c>
      <c r="G12" s="104">
        <v>359</v>
      </c>
      <c r="H12" s="105">
        <v>9778</v>
      </c>
      <c r="I12" s="105">
        <v>3486</v>
      </c>
      <c r="J12" s="106">
        <v>0</v>
      </c>
      <c r="K12" s="105">
        <v>83273</v>
      </c>
      <c r="L12" s="106">
        <v>0</v>
      </c>
      <c r="M12" s="105">
        <v>1003</v>
      </c>
      <c r="N12" s="106">
        <v>11748</v>
      </c>
      <c r="O12" s="105">
        <v>110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</row>
    <row r="13" spans="1:36" s="112" customFormat="1" ht="41.25" customHeight="1" hidden="1">
      <c r="A13" s="107" t="s">
        <v>173</v>
      </c>
      <c r="B13" s="104">
        <f>SUM(C13:O13,'6-3-3鄉決出續'!B14:F14)</f>
        <v>152158</v>
      </c>
      <c r="C13" s="104">
        <v>12689</v>
      </c>
      <c r="D13" s="104">
        <v>17134</v>
      </c>
      <c r="E13" s="104">
        <v>15122</v>
      </c>
      <c r="F13" s="104">
        <v>1519</v>
      </c>
      <c r="G13" s="104">
        <v>86</v>
      </c>
      <c r="H13" s="105">
        <v>7600</v>
      </c>
      <c r="I13" s="105">
        <v>1877</v>
      </c>
      <c r="J13" s="106">
        <v>0</v>
      </c>
      <c r="K13" s="105">
        <v>72806</v>
      </c>
      <c r="L13" s="106">
        <v>0</v>
      </c>
      <c r="M13" s="105">
        <v>900</v>
      </c>
      <c r="N13" s="106">
        <v>10809</v>
      </c>
      <c r="O13" s="105">
        <v>98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</row>
    <row r="14" spans="1:36" s="112" customFormat="1" ht="41.25" customHeight="1" hidden="1">
      <c r="A14" s="107" t="s">
        <v>177</v>
      </c>
      <c r="B14" s="104">
        <f>SUM(C14:O14,'6-3-3鄉決出續'!B15:F15)</f>
        <v>193268</v>
      </c>
      <c r="C14" s="104">
        <v>13989</v>
      </c>
      <c r="D14" s="104">
        <v>11899</v>
      </c>
      <c r="E14" s="104">
        <v>17988</v>
      </c>
      <c r="F14" s="104">
        <v>1313</v>
      </c>
      <c r="G14" s="104">
        <v>87</v>
      </c>
      <c r="H14" s="105">
        <v>17681</v>
      </c>
      <c r="I14" s="105">
        <v>1967</v>
      </c>
      <c r="J14" s="106">
        <v>0</v>
      </c>
      <c r="K14" s="150">
        <v>104447</v>
      </c>
      <c r="L14" s="106">
        <v>0</v>
      </c>
      <c r="M14" s="105">
        <v>563</v>
      </c>
      <c r="N14" s="106">
        <v>10688</v>
      </c>
      <c r="O14" s="105">
        <v>165</v>
      </c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</row>
    <row r="15" spans="1:36" s="112" customFormat="1" ht="41.25" customHeight="1">
      <c r="A15" s="242" t="s">
        <v>237</v>
      </c>
      <c r="B15" s="291">
        <f>SUM(C15:O15,'6-3-3鄉決出續'!B16:F16)</f>
        <v>135972</v>
      </c>
      <c r="C15" s="220">
        <v>15393</v>
      </c>
      <c r="D15" s="220">
        <v>14380</v>
      </c>
      <c r="E15" s="220">
        <v>15333</v>
      </c>
      <c r="F15" s="220">
        <v>1329</v>
      </c>
      <c r="G15" s="220">
        <v>74</v>
      </c>
      <c r="H15" s="221">
        <v>23626</v>
      </c>
      <c r="I15" s="221">
        <v>3455</v>
      </c>
      <c r="J15" s="222">
        <v>0</v>
      </c>
      <c r="K15" s="223">
        <v>37432</v>
      </c>
      <c r="L15" s="222">
        <v>0</v>
      </c>
      <c r="M15" s="221">
        <v>610</v>
      </c>
      <c r="N15" s="222">
        <v>10533</v>
      </c>
      <c r="O15" s="224">
        <v>126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</row>
    <row r="16" spans="1:36" s="112" customFormat="1" ht="41.25" customHeight="1">
      <c r="A16" s="243" t="s">
        <v>261</v>
      </c>
      <c r="B16" s="108">
        <f>SUM(C16:O16,'6-3-3鄉決出續'!B17:F17)</f>
        <v>208641</v>
      </c>
      <c r="C16" s="104">
        <v>13038</v>
      </c>
      <c r="D16" s="104">
        <v>13003</v>
      </c>
      <c r="E16" s="104">
        <v>20139</v>
      </c>
      <c r="F16" s="104">
        <v>1135</v>
      </c>
      <c r="G16" s="104">
        <v>67</v>
      </c>
      <c r="H16" s="105">
        <v>11688</v>
      </c>
      <c r="I16" s="105">
        <v>4220</v>
      </c>
      <c r="J16" s="106">
        <v>0</v>
      </c>
      <c r="K16" s="150">
        <v>116021</v>
      </c>
      <c r="L16" s="106">
        <v>299</v>
      </c>
      <c r="M16" s="105">
        <v>371</v>
      </c>
      <c r="N16" s="106">
        <v>12692</v>
      </c>
      <c r="O16" s="225">
        <v>125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</row>
    <row r="17" spans="1:36" s="112" customFormat="1" ht="41.25" customHeight="1">
      <c r="A17" s="243" t="s">
        <v>322</v>
      </c>
      <c r="B17" s="108">
        <f>SUM(C17:O17,'6-3-3鄉決出續'!B18:F18)</f>
        <v>152833</v>
      </c>
      <c r="C17" s="104">
        <f>12121+332</f>
        <v>12453</v>
      </c>
      <c r="D17" s="104">
        <f>11788+1665</f>
        <v>13453</v>
      </c>
      <c r="E17" s="104">
        <f>15769+429</f>
        <v>16198</v>
      </c>
      <c r="F17" s="104">
        <v>1544</v>
      </c>
      <c r="G17" s="104">
        <v>60</v>
      </c>
      <c r="H17" s="105">
        <f>13094+2400</f>
        <v>15494</v>
      </c>
      <c r="I17" s="105">
        <f>2944+542</f>
        <v>3486</v>
      </c>
      <c r="J17" s="106">
        <v>0</v>
      </c>
      <c r="K17" s="150">
        <f>4447+56798</f>
        <v>61245</v>
      </c>
      <c r="L17" s="106">
        <v>313</v>
      </c>
      <c r="M17" s="105">
        <v>390</v>
      </c>
      <c r="N17" s="106">
        <f>11149+1033</f>
        <v>12182</v>
      </c>
      <c r="O17" s="225">
        <v>80</v>
      </c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</row>
    <row r="18" spans="1:36" s="112" customFormat="1" ht="41.25" customHeight="1">
      <c r="A18" s="243" t="s">
        <v>333</v>
      </c>
      <c r="B18" s="108">
        <f>SUM(C18:O18,'6-3-3鄉決出續'!B19:F19)</f>
        <v>168636</v>
      </c>
      <c r="C18" s="104">
        <f>13730+96</f>
        <v>13826</v>
      </c>
      <c r="D18" s="104">
        <f>15262+1408</f>
        <v>16670</v>
      </c>
      <c r="E18" s="104">
        <f>15415+17628</f>
        <v>33043</v>
      </c>
      <c r="F18" s="104">
        <f>1585</f>
        <v>1585</v>
      </c>
      <c r="G18" s="104">
        <f>3768+198</f>
        <v>3966</v>
      </c>
      <c r="H18" s="105">
        <f>15291+448</f>
        <v>15739</v>
      </c>
      <c r="I18" s="105">
        <f>2957+47</f>
        <v>3004</v>
      </c>
      <c r="J18" s="106">
        <v>2000</v>
      </c>
      <c r="K18" s="150">
        <f>5193+49533</f>
        <v>54726</v>
      </c>
      <c r="L18" s="106">
        <f>309</f>
        <v>309</v>
      </c>
      <c r="M18" s="105">
        <v>352</v>
      </c>
      <c r="N18" s="106">
        <v>6769</v>
      </c>
      <c r="O18" s="225">
        <v>125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</row>
    <row r="19" spans="1:36" s="112" customFormat="1" ht="41.25" customHeight="1">
      <c r="A19" s="243" t="s">
        <v>340</v>
      </c>
      <c r="B19" s="108">
        <f>SUM(C19:O19,'6-3-3鄉決出續'!B20:F20)</f>
        <v>195296</v>
      </c>
      <c r="C19" s="104">
        <f>14954+1153</f>
        <v>16107</v>
      </c>
      <c r="D19" s="104">
        <f>15686+14987</f>
        <v>30673</v>
      </c>
      <c r="E19" s="104">
        <f>16628+111</f>
        <v>16739</v>
      </c>
      <c r="F19" s="104">
        <v>1392</v>
      </c>
      <c r="G19" s="104">
        <f>3455+41</f>
        <v>3496</v>
      </c>
      <c r="H19" s="105">
        <f>15374+98</f>
        <v>15472</v>
      </c>
      <c r="I19" s="105">
        <v>5756</v>
      </c>
      <c r="J19" s="106">
        <v>1517</v>
      </c>
      <c r="K19" s="150">
        <f>5255+70874</f>
        <v>76129</v>
      </c>
      <c r="L19" s="106">
        <v>323</v>
      </c>
      <c r="M19" s="105">
        <v>607</v>
      </c>
      <c r="N19" s="106">
        <v>8498</v>
      </c>
      <c r="O19" s="225">
        <v>154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</row>
    <row r="20" spans="1:36" s="112" customFormat="1" ht="41.25" customHeight="1">
      <c r="A20" s="243" t="s">
        <v>351</v>
      </c>
      <c r="B20" s="108">
        <f>SUM(C20:O20,'6-3-3鄉決出續'!B24:F24)</f>
        <v>292641</v>
      </c>
      <c r="C20" s="104">
        <f>14975+1807</f>
        <v>16782</v>
      </c>
      <c r="D20" s="104">
        <f>14317+591</f>
        <v>14908</v>
      </c>
      <c r="E20" s="104">
        <f>16070+5245</f>
        <v>21315</v>
      </c>
      <c r="F20" s="104">
        <v>1078</v>
      </c>
      <c r="G20" s="104">
        <f>3195+146</f>
        <v>3341</v>
      </c>
      <c r="H20" s="105">
        <f>66572+967</f>
        <v>67539</v>
      </c>
      <c r="I20" s="105">
        <f>2846+78</f>
        <v>2924</v>
      </c>
      <c r="J20" s="106">
        <f>1964</f>
        <v>1964</v>
      </c>
      <c r="K20" s="150">
        <f>6134+139625</f>
        <v>145759</v>
      </c>
      <c r="L20" s="106">
        <f>338</f>
        <v>338</v>
      </c>
      <c r="M20" s="105">
        <f>471</f>
        <v>471</v>
      </c>
      <c r="N20" s="106">
        <f>15546+510</f>
        <v>16056</v>
      </c>
      <c r="O20" s="225">
        <f>166</f>
        <v>166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</row>
    <row r="21" spans="1:36" s="112" customFormat="1" ht="41.25" customHeight="1">
      <c r="A21" s="243" t="s">
        <v>359</v>
      </c>
      <c r="B21" s="108">
        <f>SUM(C21:O21,'6-3-3鄉決出續'!B22:F22)</f>
        <v>239447</v>
      </c>
      <c r="C21" s="104">
        <f>14849+1071</f>
        <v>15920</v>
      </c>
      <c r="D21" s="104">
        <f>14926+1123</f>
        <v>16049</v>
      </c>
      <c r="E21" s="104">
        <f>23515+1505</f>
        <v>25020</v>
      </c>
      <c r="F21" s="104">
        <v>891</v>
      </c>
      <c r="G21" s="104">
        <f>4037+31</f>
        <v>4068</v>
      </c>
      <c r="H21" s="105">
        <f>17772+1165</f>
        <v>18937</v>
      </c>
      <c r="I21" s="105">
        <f>2848+134</f>
        <v>2982</v>
      </c>
      <c r="J21" s="106">
        <v>7876</v>
      </c>
      <c r="K21" s="150">
        <f>6193+110968</f>
        <v>117161</v>
      </c>
      <c r="L21" s="106">
        <v>362</v>
      </c>
      <c r="M21" s="105">
        <f>434+3534</f>
        <v>3968</v>
      </c>
      <c r="N21" s="106">
        <v>8690</v>
      </c>
      <c r="O21" s="225">
        <v>118</v>
      </c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</row>
    <row r="22" spans="1:36" s="112" customFormat="1" ht="41.25" customHeight="1">
      <c r="A22" s="244" t="s">
        <v>371</v>
      </c>
      <c r="B22" s="292">
        <f>SUM(C22:O22,'6-3-3鄉決出續'!B23:F23)</f>
        <v>309825</v>
      </c>
      <c r="C22" s="109">
        <f>14578+59</f>
        <v>14637</v>
      </c>
      <c r="D22" s="109">
        <f>16544+922</f>
        <v>17466</v>
      </c>
      <c r="E22" s="109">
        <f>26409+1415</f>
        <v>27824</v>
      </c>
      <c r="F22" s="109">
        <v>1411</v>
      </c>
      <c r="G22" s="109">
        <f>4381+271</f>
        <v>4652</v>
      </c>
      <c r="H22" s="110">
        <f>85886+12348</f>
        <v>98234</v>
      </c>
      <c r="I22" s="110">
        <f>3121+147</f>
        <v>3268</v>
      </c>
      <c r="J22" s="111">
        <v>3821</v>
      </c>
      <c r="K22" s="127">
        <f>6650+88442</f>
        <v>95092</v>
      </c>
      <c r="L22" s="111">
        <v>380</v>
      </c>
      <c r="M22" s="110">
        <f>437+13224</f>
        <v>13661</v>
      </c>
      <c r="N22" s="111">
        <v>12109</v>
      </c>
      <c r="O22" s="226">
        <v>150</v>
      </c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</row>
    <row r="23" spans="1:36" s="7" customFormat="1" ht="19.5" customHeight="1">
      <c r="A23" s="39" t="s">
        <v>48</v>
      </c>
      <c r="B23" s="42"/>
      <c r="C23" s="40"/>
      <c r="D23" s="40"/>
      <c r="E23" s="40"/>
      <c r="F23" s="40"/>
      <c r="G23" s="40"/>
      <c r="H23" s="40"/>
      <c r="I23" s="40"/>
      <c r="J23" s="40"/>
      <c r="K23" s="40"/>
      <c r="L23" s="43"/>
      <c r="M23" s="40"/>
      <c r="N23" s="40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/>
      <c r="AA23"/>
      <c r="AB23"/>
      <c r="AC23"/>
      <c r="AD23"/>
      <c r="AE23"/>
      <c r="AF23"/>
      <c r="AG23"/>
      <c r="AH23"/>
      <c r="AI23"/>
      <c r="AJ23" s="3"/>
    </row>
    <row r="24" spans="1:15" ht="16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</sheetData>
  <sheetProtection/>
  <mergeCells count="6">
    <mergeCell ref="A4:B4"/>
    <mergeCell ref="I2:O2"/>
    <mergeCell ref="I3:O3"/>
    <mergeCell ref="A2:H2"/>
    <mergeCell ref="A3:H3"/>
    <mergeCell ref="N4:O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26"/>
  <sheetViews>
    <sheetView zoomScalePageLayoutView="0" workbookViewId="0" topLeftCell="A4">
      <pane xSplit="1" ySplit="3" topLeftCell="B19" activePane="bottomRight" state="frozen"/>
      <selection pane="topLeft" activeCell="A4" sqref="A4"/>
      <selection pane="topRight" activeCell="B4" sqref="B4"/>
      <selection pane="bottomLeft" activeCell="A7" sqref="A7"/>
      <selection pane="bottomRight" activeCell="G28" sqref="G28"/>
    </sheetView>
  </sheetViews>
  <sheetFormatPr defaultColWidth="9.00390625" defaultRowHeight="16.5"/>
  <cols>
    <col min="1" max="1" width="14.125" style="1" customWidth="1"/>
    <col min="2" max="2" width="16.625" style="1" customWidth="1"/>
    <col min="3" max="3" width="15.625" style="1" customWidth="1"/>
    <col min="4" max="4" width="16.00390625" style="1" customWidth="1"/>
    <col min="5" max="6" width="13.625" style="1" customWidth="1"/>
    <col min="7" max="16384" width="9.00390625" style="1" customWidth="1"/>
  </cols>
  <sheetData>
    <row r="1" ht="16.5">
      <c r="A1" s="122" t="s">
        <v>239</v>
      </c>
    </row>
    <row r="2" spans="1:49" ht="24" customHeight="1">
      <c r="A2" s="420" t="s">
        <v>91</v>
      </c>
      <c r="B2" s="421"/>
      <c r="C2" s="421"/>
      <c r="D2" s="421"/>
      <c r="E2" s="421"/>
      <c r="F2" s="42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49" ht="21.75" customHeight="1">
      <c r="A3" s="394" t="s">
        <v>102</v>
      </c>
      <c r="B3" s="394"/>
      <c r="C3" s="394"/>
      <c r="D3" s="394"/>
      <c r="E3" s="394"/>
      <c r="F3" s="39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ht="24" customHeight="1">
      <c r="A4" s="425" t="s">
        <v>302</v>
      </c>
      <c r="B4" s="425"/>
      <c r="C4" s="425"/>
      <c r="D4" s="425"/>
      <c r="E4" s="425"/>
      <c r="F4" s="42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5.75" customHeight="1">
      <c r="A5" s="50" t="s">
        <v>1</v>
      </c>
      <c r="B5" s="66"/>
      <c r="C5" s="66"/>
      <c r="D5" s="3"/>
      <c r="E5" s="347" t="s">
        <v>85</v>
      </c>
      <c r="F5" s="42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6" s="18" customFormat="1" ht="56.25" customHeight="1">
      <c r="A6" s="214" t="s">
        <v>92</v>
      </c>
      <c r="B6" s="214" t="s">
        <v>22</v>
      </c>
      <c r="C6" s="188" t="s">
        <v>69</v>
      </c>
      <c r="D6" s="188" t="s">
        <v>51</v>
      </c>
      <c r="E6" s="215" t="s">
        <v>55</v>
      </c>
      <c r="F6" s="188" t="s">
        <v>52</v>
      </c>
    </row>
    <row r="7" spans="1:86" s="7" customFormat="1" ht="45" customHeight="1">
      <c r="A7" s="228" t="s">
        <v>93</v>
      </c>
      <c r="B7" s="196">
        <v>3397</v>
      </c>
      <c r="C7" s="197">
        <v>0</v>
      </c>
      <c r="D7" s="197">
        <v>4399</v>
      </c>
      <c r="E7" s="230">
        <v>891</v>
      </c>
      <c r="F7" s="23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12" s="7" customFormat="1" ht="45" customHeight="1">
      <c r="A8" s="229" t="s">
        <v>94</v>
      </c>
      <c r="B8" s="199">
        <v>6476</v>
      </c>
      <c r="C8" s="33">
        <v>0</v>
      </c>
      <c r="D8" s="33">
        <v>4079</v>
      </c>
      <c r="E8" s="35">
        <v>1273</v>
      </c>
      <c r="F8" s="232">
        <v>0</v>
      </c>
      <c r="G8" s="3"/>
      <c r="H8" s="3"/>
      <c r="I8" s="3"/>
      <c r="J8" s="3"/>
      <c r="K8" s="3"/>
      <c r="L8" s="3"/>
    </row>
    <row r="9" spans="1:12" s="7" customFormat="1" ht="45" customHeight="1">
      <c r="A9" s="229" t="s">
        <v>95</v>
      </c>
      <c r="B9" s="199">
        <v>7103</v>
      </c>
      <c r="C9" s="33">
        <v>0</v>
      </c>
      <c r="D9" s="33">
        <v>4585</v>
      </c>
      <c r="E9" s="35">
        <v>1008</v>
      </c>
      <c r="F9" s="232">
        <v>0</v>
      </c>
      <c r="G9" s="3"/>
      <c r="H9" s="3"/>
      <c r="I9" s="3"/>
      <c r="J9" s="3"/>
      <c r="K9" s="3"/>
      <c r="L9" s="3"/>
    </row>
    <row r="10" spans="1:12" s="7" customFormat="1" ht="45" customHeight="1">
      <c r="A10" s="229" t="s">
        <v>96</v>
      </c>
      <c r="B10" s="201">
        <v>3772</v>
      </c>
      <c r="C10" s="36">
        <v>0</v>
      </c>
      <c r="D10" s="36">
        <v>4269</v>
      </c>
      <c r="E10" s="44">
        <v>863</v>
      </c>
      <c r="F10" s="233">
        <v>0</v>
      </c>
      <c r="G10" s="3"/>
      <c r="H10" s="3"/>
      <c r="I10" s="3"/>
      <c r="J10" s="3"/>
      <c r="K10" s="3"/>
      <c r="L10" s="3"/>
    </row>
    <row r="11" spans="1:12" s="7" customFormat="1" ht="45" customHeight="1">
      <c r="A11" s="229" t="s">
        <v>97</v>
      </c>
      <c r="B11" s="201">
        <v>4767</v>
      </c>
      <c r="C11" s="36">
        <v>0</v>
      </c>
      <c r="D11" s="36">
        <v>5262</v>
      </c>
      <c r="E11" s="44">
        <v>861</v>
      </c>
      <c r="F11" s="233">
        <v>0</v>
      </c>
      <c r="G11" s="3"/>
      <c r="H11" s="3"/>
      <c r="I11" s="3"/>
      <c r="J11" s="3"/>
      <c r="K11" s="3"/>
      <c r="L11" s="3"/>
    </row>
    <row r="12" spans="1:12" s="53" customFormat="1" ht="45" customHeight="1">
      <c r="A12" s="219" t="s">
        <v>105</v>
      </c>
      <c r="B12" s="201">
        <v>4548</v>
      </c>
      <c r="C12" s="36">
        <v>0</v>
      </c>
      <c r="D12" s="36">
        <v>3996</v>
      </c>
      <c r="E12" s="44">
        <v>1243</v>
      </c>
      <c r="F12" s="233">
        <v>0</v>
      </c>
      <c r="G12" s="55"/>
      <c r="H12" s="55"/>
      <c r="I12" s="55"/>
      <c r="J12" s="55"/>
      <c r="K12" s="55"/>
      <c r="L12" s="55"/>
    </row>
    <row r="13" spans="1:12" s="53" customFormat="1" ht="39" customHeight="1">
      <c r="A13" s="219" t="s">
        <v>168</v>
      </c>
      <c r="B13" s="201">
        <v>3704</v>
      </c>
      <c r="C13" s="36">
        <v>1400</v>
      </c>
      <c r="D13" s="36">
        <v>3937</v>
      </c>
      <c r="E13" s="44">
        <v>472</v>
      </c>
      <c r="F13" s="233">
        <v>0</v>
      </c>
      <c r="G13" s="55"/>
      <c r="H13" s="55"/>
      <c r="I13" s="55"/>
      <c r="J13" s="55"/>
      <c r="K13" s="55"/>
      <c r="L13" s="55"/>
    </row>
    <row r="14" spans="1:12" s="53" customFormat="1" ht="45" customHeight="1">
      <c r="A14" s="219" t="s">
        <v>174</v>
      </c>
      <c r="B14" s="201">
        <v>5265</v>
      </c>
      <c r="C14" s="36">
        <v>0</v>
      </c>
      <c r="D14" s="36">
        <v>4901</v>
      </c>
      <c r="E14" s="44">
        <v>1352</v>
      </c>
      <c r="F14" s="233">
        <v>0</v>
      </c>
      <c r="G14" s="55"/>
      <c r="H14" s="55"/>
      <c r="I14" s="55"/>
      <c r="J14" s="55"/>
      <c r="K14" s="55"/>
      <c r="L14" s="55"/>
    </row>
    <row r="15" spans="1:12" s="53" customFormat="1" ht="45" customHeight="1">
      <c r="A15" s="227" t="s">
        <v>178</v>
      </c>
      <c r="B15" s="201">
        <v>5428</v>
      </c>
      <c r="C15" s="36">
        <v>0</v>
      </c>
      <c r="D15" s="36">
        <v>5246</v>
      </c>
      <c r="E15" s="44">
        <v>1807</v>
      </c>
      <c r="F15" s="233">
        <v>0</v>
      </c>
      <c r="G15" s="55"/>
      <c r="H15" s="55"/>
      <c r="I15" s="55"/>
      <c r="J15" s="55"/>
      <c r="K15" s="55"/>
      <c r="L15" s="55"/>
    </row>
    <row r="16" spans="1:12" s="53" customFormat="1" ht="45" customHeight="1">
      <c r="A16" s="227" t="s">
        <v>181</v>
      </c>
      <c r="B16" s="201">
        <v>5528</v>
      </c>
      <c r="C16" s="36">
        <v>0</v>
      </c>
      <c r="D16" s="36">
        <v>6394</v>
      </c>
      <c r="E16" s="44">
        <v>1759</v>
      </c>
      <c r="F16" s="233">
        <v>0</v>
      </c>
      <c r="G16" s="55"/>
      <c r="H16" s="55"/>
      <c r="I16" s="55"/>
      <c r="J16" s="55"/>
      <c r="K16" s="55"/>
      <c r="L16" s="55"/>
    </row>
    <row r="17" spans="1:12" s="53" customFormat="1" ht="45" customHeight="1">
      <c r="A17" s="227" t="s">
        <v>262</v>
      </c>
      <c r="B17" s="201">
        <v>5825</v>
      </c>
      <c r="C17" s="36">
        <v>0</v>
      </c>
      <c r="D17" s="36">
        <v>8007</v>
      </c>
      <c r="E17" s="44">
        <v>2011</v>
      </c>
      <c r="F17" s="233">
        <v>0</v>
      </c>
      <c r="G17" s="55"/>
      <c r="H17" s="55"/>
      <c r="I17" s="55"/>
      <c r="J17" s="55"/>
      <c r="K17" s="55"/>
      <c r="L17" s="55"/>
    </row>
    <row r="18" spans="1:12" s="53" customFormat="1" ht="45" customHeight="1">
      <c r="A18" s="227" t="s">
        <v>323</v>
      </c>
      <c r="B18" s="201">
        <f>6077+1046</f>
        <v>7123</v>
      </c>
      <c r="C18" s="36">
        <v>0</v>
      </c>
      <c r="D18" s="36">
        <v>6899</v>
      </c>
      <c r="E18" s="44">
        <f>378+1535</f>
        <v>1913</v>
      </c>
      <c r="F18" s="233">
        <v>0</v>
      </c>
      <c r="G18" s="55"/>
      <c r="H18" s="55"/>
      <c r="I18" s="55"/>
      <c r="J18" s="55"/>
      <c r="K18" s="55"/>
      <c r="L18" s="55"/>
    </row>
    <row r="19" spans="1:12" s="53" customFormat="1" ht="45" customHeight="1">
      <c r="A19" s="264" t="s">
        <v>334</v>
      </c>
      <c r="B19" s="257">
        <f>8006+138</f>
        <v>8144</v>
      </c>
      <c r="C19" s="258">
        <v>0</v>
      </c>
      <c r="D19" s="258">
        <f>6968</f>
        <v>6968</v>
      </c>
      <c r="E19" s="265">
        <f>500+910</f>
        <v>1410</v>
      </c>
      <c r="F19" s="266">
        <v>0</v>
      </c>
      <c r="G19" s="55"/>
      <c r="H19" s="55"/>
      <c r="I19" s="55"/>
      <c r="J19" s="55"/>
      <c r="K19" s="55"/>
      <c r="L19" s="55"/>
    </row>
    <row r="20" spans="1:12" s="53" customFormat="1" ht="45" customHeight="1">
      <c r="A20" s="260" t="s">
        <v>341</v>
      </c>
      <c r="B20" s="201">
        <f>7397+283</f>
        <v>7680</v>
      </c>
      <c r="C20" s="36">
        <v>0</v>
      </c>
      <c r="D20" s="36">
        <v>7342</v>
      </c>
      <c r="E20" s="44">
        <f>577+2834</f>
        <v>3411</v>
      </c>
      <c r="F20" s="233">
        <v>0</v>
      </c>
      <c r="G20" s="55"/>
      <c r="H20" s="55"/>
      <c r="I20" s="55"/>
      <c r="J20" s="55"/>
      <c r="K20" s="55"/>
      <c r="L20" s="55"/>
    </row>
    <row r="21" spans="1:12" s="53" customFormat="1" ht="45" customHeight="1">
      <c r="A21" s="260" t="s">
        <v>352</v>
      </c>
      <c r="B21" s="201">
        <f>6901+1330</f>
        <v>8231</v>
      </c>
      <c r="C21" s="36">
        <v>0</v>
      </c>
      <c r="D21" s="36">
        <v>7821</v>
      </c>
      <c r="E21" s="44">
        <f>2029</f>
        <v>2029</v>
      </c>
      <c r="F21" s="233">
        <v>0</v>
      </c>
      <c r="G21" s="55"/>
      <c r="H21" s="55"/>
      <c r="I21" s="55"/>
      <c r="J21" s="55"/>
      <c r="K21" s="55"/>
      <c r="L21" s="55"/>
    </row>
    <row r="22" spans="1:12" s="53" customFormat="1" ht="45" customHeight="1">
      <c r="A22" s="260" t="s">
        <v>360</v>
      </c>
      <c r="B22" s="201">
        <f>7460+77</f>
        <v>7537</v>
      </c>
      <c r="C22" s="36">
        <v>0</v>
      </c>
      <c r="D22" s="36">
        <v>7986</v>
      </c>
      <c r="E22" s="44">
        <v>1882</v>
      </c>
      <c r="F22" s="233">
        <v>0</v>
      </c>
      <c r="G22" s="55"/>
      <c r="H22" s="55"/>
      <c r="I22" s="55"/>
      <c r="J22" s="55"/>
      <c r="K22" s="55"/>
      <c r="L22" s="55"/>
    </row>
    <row r="23" spans="1:12" s="53" customFormat="1" ht="45" customHeight="1">
      <c r="A23" s="261" t="s">
        <v>372</v>
      </c>
      <c r="B23" s="267">
        <f>7555+109</f>
        <v>7664</v>
      </c>
      <c r="C23" s="56">
        <v>0</v>
      </c>
      <c r="D23" s="56">
        <v>7840</v>
      </c>
      <c r="E23" s="65">
        <v>1616</v>
      </c>
      <c r="F23" s="234">
        <v>0</v>
      </c>
      <c r="G23" s="55"/>
      <c r="H23" s="55"/>
      <c r="I23" s="55"/>
      <c r="J23" s="55"/>
      <c r="K23" s="55"/>
      <c r="L23" s="55"/>
    </row>
    <row r="24" spans="1:12" s="7" customFormat="1" ht="18" customHeight="1">
      <c r="A24" s="343" t="s">
        <v>66</v>
      </c>
      <c r="B24" s="424"/>
      <c r="C24" s="424"/>
      <c r="D24" s="424"/>
      <c r="E24" s="424"/>
      <c r="F24" s="424"/>
      <c r="G24" s="3"/>
      <c r="H24" s="3"/>
      <c r="I24" s="3"/>
      <c r="J24" s="3"/>
      <c r="K24" s="3"/>
      <c r="L24" s="3"/>
    </row>
    <row r="25" spans="1:12" s="7" customFormat="1" ht="18" customHeight="1">
      <c r="A25" s="376" t="s">
        <v>48</v>
      </c>
      <c r="B25" s="376"/>
      <c r="C25" s="39"/>
      <c r="D25" s="45"/>
      <c r="E25" s="41"/>
      <c r="F25" s="41"/>
      <c r="G25" s="3"/>
      <c r="H25" s="3"/>
      <c r="I25" s="3"/>
      <c r="J25" s="3"/>
      <c r="K25" s="3"/>
      <c r="L25" s="3"/>
    </row>
    <row r="26" spans="7:12" s="7" customFormat="1" ht="19.5" customHeight="1">
      <c r="G26" s="3"/>
      <c r="H26" s="3"/>
      <c r="I26" s="3"/>
      <c r="J26" s="3"/>
      <c r="K26" s="3"/>
      <c r="L26" s="3"/>
    </row>
  </sheetData>
  <sheetProtection/>
  <mergeCells count="6">
    <mergeCell ref="A25:B25"/>
    <mergeCell ref="A2:F2"/>
    <mergeCell ref="A3:F3"/>
    <mergeCell ref="E5:F5"/>
    <mergeCell ref="A24:F24"/>
    <mergeCell ref="A4:F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DBA</cp:lastModifiedBy>
  <cp:lastPrinted>2019-10-03T05:25:14Z</cp:lastPrinted>
  <dcterms:created xsi:type="dcterms:W3CDTF">2002-08-05T03:52:14Z</dcterms:created>
  <dcterms:modified xsi:type="dcterms:W3CDTF">2020-10-28T08:39:04Z</dcterms:modified>
  <cp:category/>
  <cp:version/>
  <cp:contentType/>
  <cp:contentStatus/>
</cp:coreProperties>
</file>